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50" windowWidth="15600" windowHeight="6915" tabRatio="808"/>
  </bookViews>
  <sheets>
    <sheet name="Instructions" sheetId="2" r:id="rId1"/>
    <sheet name="1. Simple Grid-Tied Solar" sheetId="4" r:id="rId2"/>
    <sheet name="2. Underutilized Land" sheetId="10" r:id="rId3"/>
    <sheet name="3. Solar w Shading" sheetId="8" r:id="rId4"/>
    <sheet name="4. Solar plus Storage" sheetId="9" r:id="rId5"/>
  </sheets>
  <calcPr calcId="145621"/>
</workbook>
</file>

<file path=xl/calcChain.xml><?xml version="1.0" encoding="utf-8"?>
<calcChain xmlns="http://schemas.openxmlformats.org/spreadsheetml/2006/main">
  <c r="M36" i="10" l="1"/>
  <c r="N39" i="9" l="1"/>
  <c r="O39" i="9"/>
  <c r="P39" i="9"/>
  <c r="Q39" i="9"/>
  <c r="R39" i="9"/>
  <c r="S39" i="9"/>
  <c r="T39" i="9"/>
  <c r="U39" i="9"/>
  <c r="V39" i="9"/>
  <c r="W39" i="9"/>
  <c r="X39" i="9"/>
  <c r="Y39" i="9"/>
  <c r="Z39" i="9"/>
  <c r="AA39" i="9"/>
  <c r="AB39" i="9"/>
  <c r="AC39" i="9"/>
  <c r="AD39" i="9"/>
  <c r="AE39" i="9"/>
  <c r="AF39" i="9"/>
  <c r="AG39" i="9"/>
  <c r="AH39" i="9"/>
  <c r="AI39" i="9"/>
  <c r="AJ39" i="9"/>
  <c r="AK39" i="9"/>
  <c r="AL39" i="9"/>
  <c r="AM39" i="9"/>
  <c r="AN39" i="9"/>
  <c r="AO39" i="9"/>
  <c r="AP39" i="9"/>
  <c r="M39" i="9"/>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M39" i="8"/>
  <c r="AI40" i="10"/>
  <c r="AM40" i="10"/>
  <c r="W36" i="10"/>
  <c r="N36" i="10"/>
  <c r="O36" i="10"/>
  <c r="O40" i="10" s="1"/>
  <c r="P36" i="10"/>
  <c r="Q36" i="10"/>
  <c r="Q40" i="10" s="1"/>
  <c r="R36" i="10"/>
  <c r="S36" i="10"/>
  <c r="S40" i="10" s="1"/>
  <c r="T36" i="10"/>
  <c r="U36" i="10"/>
  <c r="U40" i="10" s="1"/>
  <c r="V36" i="10"/>
  <c r="M40" i="10"/>
  <c r="M38" i="10"/>
  <c r="N38" i="10"/>
  <c r="O38" i="10"/>
  <c r="P38" i="10"/>
  <c r="Q38" i="10"/>
  <c r="R38" i="10"/>
  <c r="S38" i="10"/>
  <c r="T38" i="10"/>
  <c r="U38" i="10"/>
  <c r="W38" i="10"/>
  <c r="X38" i="10"/>
  <c r="X40" i="10" s="1"/>
  <c r="Y38" i="10"/>
  <c r="Y40" i="10" s="1"/>
  <c r="Z38" i="10"/>
  <c r="Z40" i="10" s="1"/>
  <c r="AA38" i="10"/>
  <c r="AA40" i="10" s="1"/>
  <c r="AB38" i="10"/>
  <c r="AB40" i="10" s="1"/>
  <c r="AC38" i="10"/>
  <c r="AC40" i="10" s="1"/>
  <c r="AD38" i="10"/>
  <c r="AD40" i="10" s="1"/>
  <c r="AE38" i="10"/>
  <c r="AE40" i="10" s="1"/>
  <c r="AG38" i="10"/>
  <c r="AG40" i="10" s="1"/>
  <c r="AH38" i="10"/>
  <c r="AH40" i="10" s="1"/>
  <c r="AI38" i="10"/>
  <c r="AJ38" i="10"/>
  <c r="AJ40" i="10" s="1"/>
  <c r="AK38" i="10"/>
  <c r="AK40" i="10" s="1"/>
  <c r="AL38" i="10"/>
  <c r="AL40" i="10" s="1"/>
  <c r="AM38" i="10"/>
  <c r="AN38" i="10"/>
  <c r="AN40" i="10" s="1"/>
  <c r="AO38" i="10"/>
  <c r="AO40" i="10" s="1"/>
  <c r="V38"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M34" i="10"/>
  <c r="L15" i="10"/>
  <c r="L14" i="10"/>
  <c r="L13" i="10"/>
  <c r="L16" i="10" s="1"/>
  <c r="L12" i="10"/>
  <c r="C11" i="10"/>
  <c r="C9" i="10"/>
  <c r="AP38" i="10" s="1"/>
  <c r="AP40" i="10" s="1"/>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AP39" i="10"/>
  <c r="AP46" i="10" s="1"/>
  <c r="AO39" i="10"/>
  <c r="AO46" i="10" s="1"/>
  <c r="AN39" i="10"/>
  <c r="AN46" i="10" s="1"/>
  <c r="AM39" i="10"/>
  <c r="AM46" i="10" s="1"/>
  <c r="AL39" i="10"/>
  <c r="AL46" i="10" s="1"/>
  <c r="AK39" i="10"/>
  <c r="AK46" i="10" s="1"/>
  <c r="AJ39" i="10"/>
  <c r="AJ46" i="10" s="1"/>
  <c r="AI39" i="10"/>
  <c r="AI46" i="10" s="1"/>
  <c r="AH39" i="10"/>
  <c r="AH46" i="10" s="1"/>
  <c r="AG39" i="10"/>
  <c r="AG46" i="10" s="1"/>
  <c r="AF39" i="10"/>
  <c r="AF46" i="10" s="1"/>
  <c r="AE39" i="10"/>
  <c r="AE46" i="10" s="1"/>
  <c r="AD39" i="10"/>
  <c r="AD46" i="10" s="1"/>
  <c r="AC39" i="10"/>
  <c r="AC46" i="10" s="1"/>
  <c r="AB39" i="10"/>
  <c r="AB46" i="10" s="1"/>
  <c r="AA39" i="10"/>
  <c r="AA46" i="10" s="1"/>
  <c r="Z39" i="10"/>
  <c r="Z46" i="10" s="1"/>
  <c r="Y39" i="10"/>
  <c r="Y46" i="10" s="1"/>
  <c r="X39" i="10"/>
  <c r="X46" i="10" s="1"/>
  <c r="W39" i="10"/>
  <c r="W46" i="10" s="1"/>
  <c r="V39" i="10"/>
  <c r="V46" i="10" s="1"/>
  <c r="U39" i="10"/>
  <c r="U46" i="10" s="1"/>
  <c r="T39" i="10"/>
  <c r="T46" i="10" s="1"/>
  <c r="S39" i="10"/>
  <c r="S46" i="10" s="1"/>
  <c r="R39" i="10"/>
  <c r="R46" i="10" s="1"/>
  <c r="Q39" i="10"/>
  <c r="Q46" i="10" s="1"/>
  <c r="P39" i="10"/>
  <c r="P46" i="10" s="1"/>
  <c r="O39" i="10"/>
  <c r="O46" i="10" s="1"/>
  <c r="N39" i="10"/>
  <c r="N46" i="10" s="1"/>
  <c r="M39" i="10"/>
  <c r="M46" i="10" s="1"/>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R37" i="10"/>
  <c r="Q37" i="10"/>
  <c r="P37" i="10"/>
  <c r="O37" i="10"/>
  <c r="N37" i="10"/>
  <c r="M37"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N25" i="10"/>
  <c r="C25" i="10"/>
  <c r="L20" i="10"/>
  <c r="L19" i="10"/>
  <c r="AP16" i="10"/>
  <c r="AP21" i="10" s="1"/>
  <c r="AO16" i="10"/>
  <c r="AO21" i="10" s="1"/>
  <c r="AN16" i="10"/>
  <c r="AN21" i="10" s="1"/>
  <c r="AM16" i="10"/>
  <c r="AM21" i="10" s="1"/>
  <c r="AL16" i="10"/>
  <c r="AL21" i="10" s="1"/>
  <c r="AK16" i="10"/>
  <c r="AK21" i="10" s="1"/>
  <c r="AJ16" i="10"/>
  <c r="AJ21" i="10" s="1"/>
  <c r="AI16" i="10"/>
  <c r="AI21" i="10" s="1"/>
  <c r="AH16" i="10"/>
  <c r="AH21" i="10" s="1"/>
  <c r="AG16" i="10"/>
  <c r="AG21" i="10" s="1"/>
  <c r="AF16" i="10"/>
  <c r="AF21" i="10" s="1"/>
  <c r="AE16" i="10"/>
  <c r="AE21" i="10" s="1"/>
  <c r="AD16" i="10"/>
  <c r="AD21" i="10" s="1"/>
  <c r="AC16" i="10"/>
  <c r="AC21" i="10" s="1"/>
  <c r="AB16" i="10"/>
  <c r="AB21" i="10" s="1"/>
  <c r="AA16" i="10"/>
  <c r="AA21" i="10" s="1"/>
  <c r="Z16" i="10"/>
  <c r="Z21" i="10" s="1"/>
  <c r="Y16" i="10"/>
  <c r="Y21" i="10" s="1"/>
  <c r="X16" i="10"/>
  <c r="X21" i="10" s="1"/>
  <c r="W16" i="10"/>
  <c r="W21" i="10" s="1"/>
  <c r="V16" i="10"/>
  <c r="V21" i="10" s="1"/>
  <c r="U16" i="10"/>
  <c r="U21" i="10" s="1"/>
  <c r="T16" i="10"/>
  <c r="T21" i="10" s="1"/>
  <c r="S16" i="10"/>
  <c r="S21" i="10" s="1"/>
  <c r="R16" i="10"/>
  <c r="R21" i="10" s="1"/>
  <c r="Q16" i="10"/>
  <c r="Q21" i="10" s="1"/>
  <c r="P16" i="10"/>
  <c r="P21" i="10" s="1"/>
  <c r="O16" i="10"/>
  <c r="O21" i="10" s="1"/>
  <c r="N16" i="10"/>
  <c r="N21" i="10" s="1"/>
  <c r="M15" i="10"/>
  <c r="M16" i="10" s="1"/>
  <c r="M21" i="10" s="1"/>
  <c r="C10" i="10"/>
  <c r="AM8" i="10"/>
  <c r="AM30" i="10" s="1"/>
  <c r="AI8" i="10"/>
  <c r="AI30" i="10" s="1"/>
  <c r="AE8" i="10"/>
  <c r="AE30" i="10" s="1"/>
  <c r="AA8" i="10"/>
  <c r="AA30" i="10" s="1"/>
  <c r="W8" i="10"/>
  <c r="W30" i="10" s="1"/>
  <c r="T8" i="10"/>
  <c r="S8" i="10"/>
  <c r="S30" i="10" s="1"/>
  <c r="P8" i="10"/>
  <c r="O8" i="10"/>
  <c r="O30" i="10" s="1"/>
  <c r="H35" i="4"/>
  <c r="H35" i="8"/>
  <c r="H35" i="9"/>
  <c r="C9" i="9"/>
  <c r="C8" i="9"/>
  <c r="C7"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AP42" i="9"/>
  <c r="AO42" i="9"/>
  <c r="AN42" i="9"/>
  <c r="AM42" i="9"/>
  <c r="AL42" i="9"/>
  <c r="AK42" i="9"/>
  <c r="AJ42" i="9"/>
  <c r="AI42" i="9"/>
  <c r="AH42" i="9"/>
  <c r="AG42" i="9"/>
  <c r="AF42" i="9"/>
  <c r="AE42" i="9"/>
  <c r="AD42" i="9"/>
  <c r="AC42" i="9"/>
  <c r="AB42" i="9"/>
  <c r="AA42" i="9"/>
  <c r="Z42" i="9"/>
  <c r="Y42" i="9"/>
  <c r="X42" i="9"/>
  <c r="W42" i="9"/>
  <c r="V42" i="9"/>
  <c r="U42" i="9"/>
  <c r="T42" i="9"/>
  <c r="S42" i="9"/>
  <c r="R42" i="9"/>
  <c r="Q42" i="9"/>
  <c r="P42" i="9"/>
  <c r="O42" i="9"/>
  <c r="N42" i="9"/>
  <c r="M42" i="9"/>
  <c r="AP38" i="9"/>
  <c r="AP45" i="9" s="1"/>
  <c r="AO38" i="9"/>
  <c r="AO45" i="9" s="1"/>
  <c r="AN38" i="9"/>
  <c r="AN45" i="9" s="1"/>
  <c r="AM38" i="9"/>
  <c r="AM45" i="9" s="1"/>
  <c r="AL38" i="9"/>
  <c r="AL45" i="9" s="1"/>
  <c r="AK38" i="9"/>
  <c r="AK45" i="9" s="1"/>
  <c r="AJ38" i="9"/>
  <c r="AJ45" i="9" s="1"/>
  <c r="AI38" i="9"/>
  <c r="AI45" i="9" s="1"/>
  <c r="AH38" i="9"/>
  <c r="AH45" i="9" s="1"/>
  <c r="AG38" i="9"/>
  <c r="AG45" i="9" s="1"/>
  <c r="AF38" i="9"/>
  <c r="AF45" i="9" s="1"/>
  <c r="AE38" i="9"/>
  <c r="AE45" i="9" s="1"/>
  <c r="AD38" i="9"/>
  <c r="AD45" i="9" s="1"/>
  <c r="AC38" i="9"/>
  <c r="AC45" i="9" s="1"/>
  <c r="AB38" i="9"/>
  <c r="AB45" i="9" s="1"/>
  <c r="AA38" i="9"/>
  <c r="AA45" i="9" s="1"/>
  <c r="Z38" i="9"/>
  <c r="Z45" i="9" s="1"/>
  <c r="Y38" i="9"/>
  <c r="Y45" i="9" s="1"/>
  <c r="X38" i="9"/>
  <c r="X45" i="9" s="1"/>
  <c r="W38" i="9"/>
  <c r="W45" i="9" s="1"/>
  <c r="V38" i="9"/>
  <c r="V45" i="9" s="1"/>
  <c r="U38" i="9"/>
  <c r="U45" i="9" s="1"/>
  <c r="T38" i="9"/>
  <c r="T45" i="9" s="1"/>
  <c r="S38" i="9"/>
  <c r="S45" i="9" s="1"/>
  <c r="R38" i="9"/>
  <c r="R45" i="9" s="1"/>
  <c r="Q38" i="9"/>
  <c r="Q45" i="9" s="1"/>
  <c r="P38" i="9"/>
  <c r="P45" i="9" s="1"/>
  <c r="O38" i="9"/>
  <c r="O45" i="9" s="1"/>
  <c r="N38" i="9"/>
  <c r="N45" i="9" s="1"/>
  <c r="M38" i="9"/>
  <c r="M45" i="9" s="1"/>
  <c r="AO37" i="9"/>
  <c r="AN37" i="9"/>
  <c r="AM37" i="9"/>
  <c r="AL37" i="9"/>
  <c r="AK37" i="9"/>
  <c r="AJ37" i="9"/>
  <c r="AI37" i="9"/>
  <c r="AH37" i="9"/>
  <c r="AG37" i="9"/>
  <c r="AE37" i="9"/>
  <c r="AD37" i="9"/>
  <c r="AC37" i="9"/>
  <c r="AB37" i="9"/>
  <c r="AA37" i="9"/>
  <c r="Z37" i="9"/>
  <c r="Y37" i="9"/>
  <c r="X37" i="9"/>
  <c r="W37" i="9"/>
  <c r="U37" i="9"/>
  <c r="T37" i="9"/>
  <c r="S37" i="9"/>
  <c r="R37" i="9"/>
  <c r="Q37" i="9"/>
  <c r="P37" i="9"/>
  <c r="O37" i="9"/>
  <c r="N37" i="9"/>
  <c r="M37" i="9"/>
  <c r="AP36" i="9"/>
  <c r="AO36" i="9"/>
  <c r="AN36" i="9"/>
  <c r="AM36" i="9"/>
  <c r="AL36" i="9"/>
  <c r="AK36" i="9"/>
  <c r="AJ36" i="9"/>
  <c r="AI36" i="9"/>
  <c r="AH36" i="9"/>
  <c r="AG36" i="9"/>
  <c r="AF36" i="9"/>
  <c r="AE36" i="9"/>
  <c r="AD36" i="9"/>
  <c r="AC36" i="9"/>
  <c r="AB36" i="9"/>
  <c r="AA36" i="9"/>
  <c r="Z36" i="9"/>
  <c r="Y36" i="9"/>
  <c r="X36" i="9"/>
  <c r="W36" i="9"/>
  <c r="V36" i="9"/>
  <c r="U36" i="9"/>
  <c r="T36" i="9"/>
  <c r="S36" i="9"/>
  <c r="R36" i="9"/>
  <c r="Q36" i="9"/>
  <c r="P36" i="9"/>
  <c r="O36" i="9"/>
  <c r="N36" i="9"/>
  <c r="M36" i="9"/>
  <c r="AP35" i="9"/>
  <c r="AO35" i="9"/>
  <c r="AN35" i="9"/>
  <c r="AM35" i="9"/>
  <c r="AL35" i="9"/>
  <c r="AK35" i="9"/>
  <c r="AJ35" i="9"/>
  <c r="AI35" i="9"/>
  <c r="AH35" i="9"/>
  <c r="AG35" i="9"/>
  <c r="AF35" i="9"/>
  <c r="AE35" i="9"/>
  <c r="AD35" i="9"/>
  <c r="AC35" i="9"/>
  <c r="AB35" i="9"/>
  <c r="AA35" i="9"/>
  <c r="Z35" i="9"/>
  <c r="Y35" i="9"/>
  <c r="X35" i="9"/>
  <c r="W35" i="9"/>
  <c r="V35" i="9"/>
  <c r="U35" i="9"/>
  <c r="T35" i="9"/>
  <c r="S35" i="9"/>
  <c r="R35" i="9"/>
  <c r="Q35" i="9"/>
  <c r="P35" i="9"/>
  <c r="O35" i="9"/>
  <c r="N35" i="9"/>
  <c r="M35" i="9"/>
  <c r="AP34" i="9"/>
  <c r="AO34" i="9"/>
  <c r="AN34" i="9"/>
  <c r="AM34" i="9"/>
  <c r="AL34" i="9"/>
  <c r="AK34" i="9"/>
  <c r="AJ34" i="9"/>
  <c r="AI34" i="9"/>
  <c r="AH34" i="9"/>
  <c r="AG34" i="9"/>
  <c r="AF34" i="9"/>
  <c r="AE34" i="9"/>
  <c r="AD34" i="9"/>
  <c r="AC34" i="9"/>
  <c r="AB34" i="9"/>
  <c r="AA34" i="9"/>
  <c r="Z34" i="9"/>
  <c r="Y34" i="9"/>
  <c r="X34" i="9"/>
  <c r="W34" i="9"/>
  <c r="V34" i="9"/>
  <c r="U34" i="9"/>
  <c r="T34" i="9"/>
  <c r="S34" i="9"/>
  <c r="R34" i="9"/>
  <c r="Q34" i="9"/>
  <c r="P34" i="9"/>
  <c r="O34" i="9"/>
  <c r="N34" i="9"/>
  <c r="M34"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AP28" i="9"/>
  <c r="AO28" i="9"/>
  <c r="AN28" i="9"/>
  <c r="AM28" i="9"/>
  <c r="AL28" i="9"/>
  <c r="AK28" i="9"/>
  <c r="AJ28" i="9"/>
  <c r="AI28" i="9"/>
  <c r="AH28" i="9"/>
  <c r="AG28" i="9"/>
  <c r="AF28" i="9"/>
  <c r="AE28" i="9"/>
  <c r="AD28" i="9"/>
  <c r="AC28" i="9"/>
  <c r="AB28" i="9"/>
  <c r="AA28" i="9"/>
  <c r="Z28" i="9"/>
  <c r="Y28" i="9"/>
  <c r="X28" i="9"/>
  <c r="W28" i="9"/>
  <c r="V28" i="9"/>
  <c r="U28" i="9"/>
  <c r="T28" i="9"/>
  <c r="S28" i="9"/>
  <c r="R28" i="9"/>
  <c r="Q28" i="9"/>
  <c r="P28" i="9"/>
  <c r="O28" i="9"/>
  <c r="N28" i="9"/>
  <c r="M28"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AP26" i="9"/>
  <c r="AO26" i="9"/>
  <c r="AN26" i="9"/>
  <c r="AM26" i="9"/>
  <c r="AL26" i="9"/>
  <c r="AK26" i="9"/>
  <c r="AJ26" i="9"/>
  <c r="AI26" i="9"/>
  <c r="AH26" i="9"/>
  <c r="AG26" i="9"/>
  <c r="AF26" i="9"/>
  <c r="AE26" i="9"/>
  <c r="AD26" i="9"/>
  <c r="AC26" i="9"/>
  <c r="AB26" i="9"/>
  <c r="AA26" i="9"/>
  <c r="Z26" i="9"/>
  <c r="Y26" i="9"/>
  <c r="X26" i="9"/>
  <c r="W26" i="9"/>
  <c r="V26" i="9"/>
  <c r="U26" i="9"/>
  <c r="T26" i="9"/>
  <c r="S26" i="9"/>
  <c r="R26" i="9"/>
  <c r="Q26" i="9"/>
  <c r="P26" i="9"/>
  <c r="O26" i="9"/>
  <c r="N26" i="9"/>
  <c r="M26" i="9"/>
  <c r="AF25" i="9"/>
  <c r="P25" i="9"/>
  <c r="C24" i="9"/>
  <c r="AJ25" i="9" s="1"/>
  <c r="AO21" i="9"/>
  <c r="AK21" i="9"/>
  <c r="AG21" i="9"/>
  <c r="AC21" i="9"/>
  <c r="Y21" i="9"/>
  <c r="U21" i="9"/>
  <c r="Q21" i="9"/>
  <c r="C21" i="9"/>
  <c r="L20" i="9"/>
  <c r="L19" i="9"/>
  <c r="AP16" i="9"/>
  <c r="AP21" i="9" s="1"/>
  <c r="AO16" i="9"/>
  <c r="AN16" i="9"/>
  <c r="AN21" i="9" s="1"/>
  <c r="AM16" i="9"/>
  <c r="AM21" i="9" s="1"/>
  <c r="AL16" i="9"/>
  <c r="AL21" i="9" s="1"/>
  <c r="AK16" i="9"/>
  <c r="AJ16" i="9"/>
  <c r="AJ21" i="9" s="1"/>
  <c r="AI16" i="9"/>
  <c r="AI21" i="9" s="1"/>
  <c r="AH16" i="9"/>
  <c r="AH21" i="9" s="1"/>
  <c r="AG16" i="9"/>
  <c r="AF16" i="9"/>
  <c r="AF21" i="9" s="1"/>
  <c r="AE16" i="9"/>
  <c r="AE21" i="9" s="1"/>
  <c r="AD16" i="9"/>
  <c r="AD21" i="9" s="1"/>
  <c r="AC16" i="9"/>
  <c r="AB16" i="9"/>
  <c r="AB21" i="9" s="1"/>
  <c r="AA16" i="9"/>
  <c r="AA21" i="9" s="1"/>
  <c r="Z16" i="9"/>
  <c r="Z21" i="9" s="1"/>
  <c r="Y16" i="9"/>
  <c r="X16" i="9"/>
  <c r="X21" i="9" s="1"/>
  <c r="W16" i="9"/>
  <c r="W21" i="9" s="1"/>
  <c r="V16" i="9"/>
  <c r="V21" i="9" s="1"/>
  <c r="U16" i="9"/>
  <c r="T16" i="9"/>
  <c r="T21" i="9" s="1"/>
  <c r="S16" i="9"/>
  <c r="S21" i="9" s="1"/>
  <c r="R16" i="9"/>
  <c r="R21" i="9" s="1"/>
  <c r="Q16" i="9"/>
  <c r="P16" i="9"/>
  <c r="P21" i="9" s="1"/>
  <c r="O16" i="9"/>
  <c r="O21" i="9" s="1"/>
  <c r="N16" i="9"/>
  <c r="N21" i="9" s="1"/>
  <c r="M15" i="9"/>
  <c r="M16" i="9" s="1"/>
  <c r="M21" i="9" s="1"/>
  <c r="L15" i="9"/>
  <c r="L14" i="9"/>
  <c r="C11" i="9"/>
  <c r="L13" i="9" s="1"/>
  <c r="C10" i="9"/>
  <c r="L12" i="9" s="1"/>
  <c r="C50" i="9" s="1"/>
  <c r="AO8" i="9"/>
  <c r="AO30" i="9" s="1"/>
  <c r="AM8" i="9"/>
  <c r="AM30" i="9" s="1"/>
  <c r="AK8" i="9"/>
  <c r="AK30" i="9" s="1"/>
  <c r="AI8" i="9"/>
  <c r="AI30" i="9" s="1"/>
  <c r="AG8" i="9"/>
  <c r="AG30" i="9" s="1"/>
  <c r="AE8" i="9"/>
  <c r="AE30" i="9" s="1"/>
  <c r="AC8" i="9"/>
  <c r="AC30" i="9" s="1"/>
  <c r="AA8" i="9"/>
  <c r="AA30" i="9" s="1"/>
  <c r="Y8" i="9"/>
  <c r="Y30" i="9" s="1"/>
  <c r="W8" i="9"/>
  <c r="W30" i="9" s="1"/>
  <c r="U8" i="9"/>
  <c r="U30" i="9" s="1"/>
  <c r="S8" i="9"/>
  <c r="S30" i="9" s="1"/>
  <c r="Q8" i="9"/>
  <c r="Q30" i="9" s="1"/>
  <c r="O8" i="9"/>
  <c r="O30" i="9" s="1"/>
  <c r="M8" i="9"/>
  <c r="M30" i="9" s="1"/>
  <c r="C9"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AP42" i="8"/>
  <c r="AO42" i="8"/>
  <c r="AN42" i="8"/>
  <c r="AM42" i="8"/>
  <c r="AL42" i="8"/>
  <c r="AK42" i="8"/>
  <c r="AJ42" i="8"/>
  <c r="AI42" i="8"/>
  <c r="AH42" i="8"/>
  <c r="AG42" i="8"/>
  <c r="AF42" i="8"/>
  <c r="AE42" i="8"/>
  <c r="AD42" i="8"/>
  <c r="AC42" i="8"/>
  <c r="AB42" i="8"/>
  <c r="AA42" i="8"/>
  <c r="Z42" i="8"/>
  <c r="Y42" i="8"/>
  <c r="X42" i="8"/>
  <c r="W42" i="8"/>
  <c r="V42" i="8"/>
  <c r="U42" i="8"/>
  <c r="T42" i="8"/>
  <c r="S42" i="8"/>
  <c r="R42" i="8"/>
  <c r="Q42" i="8"/>
  <c r="P42" i="8"/>
  <c r="O42" i="8"/>
  <c r="N42" i="8"/>
  <c r="M42" i="8"/>
  <c r="AP38" i="8"/>
  <c r="AP45" i="8" s="1"/>
  <c r="AO38" i="8"/>
  <c r="AO45" i="8" s="1"/>
  <c r="AN38" i="8"/>
  <c r="AN45" i="8" s="1"/>
  <c r="AM38" i="8"/>
  <c r="AM45" i="8" s="1"/>
  <c r="AL38" i="8"/>
  <c r="AL45" i="8" s="1"/>
  <c r="AK38" i="8"/>
  <c r="AK45" i="8" s="1"/>
  <c r="AJ38" i="8"/>
  <c r="AJ45" i="8" s="1"/>
  <c r="AI38" i="8"/>
  <c r="AI45" i="8" s="1"/>
  <c r="AH38" i="8"/>
  <c r="AH45" i="8" s="1"/>
  <c r="AG38" i="8"/>
  <c r="AG45" i="8" s="1"/>
  <c r="AF38" i="8"/>
  <c r="AF45" i="8" s="1"/>
  <c r="AE38" i="8"/>
  <c r="AE45" i="8" s="1"/>
  <c r="AD38" i="8"/>
  <c r="AD45" i="8" s="1"/>
  <c r="AC38" i="8"/>
  <c r="AC45" i="8" s="1"/>
  <c r="AB38" i="8"/>
  <c r="AB45" i="8" s="1"/>
  <c r="AA38" i="8"/>
  <c r="AA45" i="8" s="1"/>
  <c r="Z38" i="8"/>
  <c r="Z45" i="8" s="1"/>
  <c r="Y38" i="8"/>
  <c r="Y45" i="8" s="1"/>
  <c r="X38" i="8"/>
  <c r="X45" i="8" s="1"/>
  <c r="W38" i="8"/>
  <c r="W45" i="8" s="1"/>
  <c r="V38" i="8"/>
  <c r="V45" i="8" s="1"/>
  <c r="U38" i="8"/>
  <c r="U45" i="8" s="1"/>
  <c r="T38" i="8"/>
  <c r="T45" i="8" s="1"/>
  <c r="S38" i="8"/>
  <c r="S45" i="8" s="1"/>
  <c r="R38" i="8"/>
  <c r="R45" i="8" s="1"/>
  <c r="Q38" i="8"/>
  <c r="Q45" i="8" s="1"/>
  <c r="P38" i="8"/>
  <c r="P45" i="8" s="1"/>
  <c r="O38" i="8"/>
  <c r="O45" i="8" s="1"/>
  <c r="N38" i="8"/>
  <c r="N45" i="8" s="1"/>
  <c r="M38" i="8"/>
  <c r="M45" i="8" s="1"/>
  <c r="AO37" i="8"/>
  <c r="AN37" i="8"/>
  <c r="AM37" i="8"/>
  <c r="AL37" i="8"/>
  <c r="AK37" i="8"/>
  <c r="AJ37" i="8"/>
  <c r="AI37" i="8"/>
  <c r="AH37" i="8"/>
  <c r="AG37" i="8"/>
  <c r="AE37" i="8"/>
  <c r="AD37" i="8"/>
  <c r="AC37" i="8"/>
  <c r="AB37" i="8"/>
  <c r="AA37" i="8"/>
  <c r="Z37" i="8"/>
  <c r="Y37" i="8"/>
  <c r="X37" i="8"/>
  <c r="W37" i="8"/>
  <c r="U37" i="8"/>
  <c r="T37" i="8"/>
  <c r="S37" i="8"/>
  <c r="R37" i="8"/>
  <c r="Q37" i="8"/>
  <c r="P37" i="8"/>
  <c r="O37" i="8"/>
  <c r="N37" i="8"/>
  <c r="M37" i="8"/>
  <c r="AP36" i="8"/>
  <c r="AO36" i="8"/>
  <c r="AN36" i="8"/>
  <c r="AM36" i="8"/>
  <c r="AL36" i="8"/>
  <c r="AK36" i="8"/>
  <c r="AJ36" i="8"/>
  <c r="AI36" i="8"/>
  <c r="AH36" i="8"/>
  <c r="AG36" i="8"/>
  <c r="AF36" i="8"/>
  <c r="AE36" i="8"/>
  <c r="AD36" i="8"/>
  <c r="AC36" i="8"/>
  <c r="AB36" i="8"/>
  <c r="AA36" i="8"/>
  <c r="Z36" i="8"/>
  <c r="Y36" i="8"/>
  <c r="X36" i="8"/>
  <c r="W36" i="8"/>
  <c r="V36" i="8"/>
  <c r="U36" i="8"/>
  <c r="T36" i="8"/>
  <c r="S36" i="8"/>
  <c r="R36" i="8"/>
  <c r="Q36" i="8"/>
  <c r="P36" i="8"/>
  <c r="O36" i="8"/>
  <c r="N36" i="8"/>
  <c r="M36" i="8"/>
  <c r="AP35" i="8"/>
  <c r="AO35" i="8"/>
  <c r="AN35" i="8"/>
  <c r="AM35" i="8"/>
  <c r="AL35" i="8"/>
  <c r="AK35" i="8"/>
  <c r="AJ35" i="8"/>
  <c r="AI35" i="8"/>
  <c r="AH35" i="8"/>
  <c r="AG35" i="8"/>
  <c r="AF35" i="8"/>
  <c r="AE35" i="8"/>
  <c r="AD35" i="8"/>
  <c r="AC35" i="8"/>
  <c r="AB35" i="8"/>
  <c r="AA35" i="8"/>
  <c r="Z35" i="8"/>
  <c r="Y35" i="8"/>
  <c r="X35" i="8"/>
  <c r="W35" i="8"/>
  <c r="V35" i="8"/>
  <c r="U35" i="8"/>
  <c r="T35" i="8"/>
  <c r="S35" i="8"/>
  <c r="R35" i="8"/>
  <c r="Q35" i="8"/>
  <c r="P35" i="8"/>
  <c r="O35" i="8"/>
  <c r="N35" i="8"/>
  <c r="M35" i="8"/>
  <c r="AP34" i="8"/>
  <c r="AO34" i="8"/>
  <c r="AN34" i="8"/>
  <c r="AM34" i="8"/>
  <c r="AL34" i="8"/>
  <c r="AK34" i="8"/>
  <c r="AJ34" i="8"/>
  <c r="AI34" i="8"/>
  <c r="AH34" i="8"/>
  <c r="AG34" i="8"/>
  <c r="AF34" i="8"/>
  <c r="AE34" i="8"/>
  <c r="AD34" i="8"/>
  <c r="AC34" i="8"/>
  <c r="AB34" i="8"/>
  <c r="AA34" i="8"/>
  <c r="Z34" i="8"/>
  <c r="Y34" i="8"/>
  <c r="X34" i="8"/>
  <c r="W34" i="8"/>
  <c r="V34" i="8"/>
  <c r="U34" i="8"/>
  <c r="T34" i="8"/>
  <c r="S34" i="8"/>
  <c r="R34" i="8"/>
  <c r="Q34" i="8"/>
  <c r="P34" i="8"/>
  <c r="O34" i="8"/>
  <c r="N34" i="8"/>
  <c r="M34" i="8"/>
  <c r="AP29" i="8"/>
  <c r="AO29" i="8"/>
  <c r="AN29" i="8"/>
  <c r="AM29" i="8"/>
  <c r="AL29" i="8"/>
  <c r="AK29" i="8"/>
  <c r="AJ29" i="8"/>
  <c r="AI29" i="8"/>
  <c r="AH29" i="8"/>
  <c r="AG29" i="8"/>
  <c r="AF29" i="8"/>
  <c r="AE29" i="8"/>
  <c r="AD29" i="8"/>
  <c r="AC29" i="8"/>
  <c r="AB29" i="8"/>
  <c r="AA29" i="8"/>
  <c r="Z29" i="8"/>
  <c r="Y29" i="8"/>
  <c r="X29" i="8"/>
  <c r="W29" i="8"/>
  <c r="V29" i="8"/>
  <c r="U29" i="8"/>
  <c r="T29" i="8"/>
  <c r="S29" i="8"/>
  <c r="R29" i="8"/>
  <c r="Q29" i="8"/>
  <c r="P29" i="8"/>
  <c r="O29" i="8"/>
  <c r="N29" i="8"/>
  <c r="M29" i="8"/>
  <c r="AP28" i="8"/>
  <c r="AO28" i="8"/>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AP27" i="8"/>
  <c r="AO27" i="8"/>
  <c r="AN27" i="8"/>
  <c r="AM27" i="8"/>
  <c r="AL27" i="8"/>
  <c r="AK27" i="8"/>
  <c r="AJ27" i="8"/>
  <c r="AI27" i="8"/>
  <c r="AH27" i="8"/>
  <c r="AG27" i="8"/>
  <c r="AF27" i="8"/>
  <c r="AE27" i="8"/>
  <c r="AD27" i="8"/>
  <c r="AC27" i="8"/>
  <c r="AB27" i="8"/>
  <c r="AA27" i="8"/>
  <c r="Z27" i="8"/>
  <c r="Y27" i="8"/>
  <c r="X27" i="8"/>
  <c r="W27" i="8"/>
  <c r="V27" i="8"/>
  <c r="U27" i="8"/>
  <c r="T27" i="8"/>
  <c r="S27" i="8"/>
  <c r="R27" i="8"/>
  <c r="Q27" i="8"/>
  <c r="P27" i="8"/>
  <c r="O27" i="8"/>
  <c r="N27" i="8"/>
  <c r="M27" i="8"/>
  <c r="AP26" i="8"/>
  <c r="AO26" i="8"/>
  <c r="AN26" i="8"/>
  <c r="AM26" i="8"/>
  <c r="AL26" i="8"/>
  <c r="AK26" i="8"/>
  <c r="AJ26" i="8"/>
  <c r="AI26" i="8"/>
  <c r="AH26" i="8"/>
  <c r="AG26" i="8"/>
  <c r="AF26" i="8"/>
  <c r="AE26" i="8"/>
  <c r="AD26" i="8"/>
  <c r="AC26" i="8"/>
  <c r="AB26" i="8"/>
  <c r="AA26" i="8"/>
  <c r="Z26" i="8"/>
  <c r="Y26" i="8"/>
  <c r="X26" i="8"/>
  <c r="W26" i="8"/>
  <c r="V26" i="8"/>
  <c r="U26" i="8"/>
  <c r="T26" i="8"/>
  <c r="S26" i="8"/>
  <c r="R26" i="8"/>
  <c r="Q26" i="8"/>
  <c r="P26" i="8"/>
  <c r="O26" i="8"/>
  <c r="N26" i="8"/>
  <c r="M26" i="8"/>
  <c r="AM25" i="8"/>
  <c r="AI25" i="8"/>
  <c r="AE25" i="8"/>
  <c r="AA25" i="8"/>
  <c r="W25" i="8"/>
  <c r="S25" i="8"/>
  <c r="O25" i="8"/>
  <c r="C24" i="8"/>
  <c r="AP25" i="8" s="1"/>
  <c r="AM21" i="8"/>
  <c r="AI21" i="8"/>
  <c r="AE21" i="8"/>
  <c r="AA21" i="8"/>
  <c r="W21" i="8"/>
  <c r="S21" i="8"/>
  <c r="O21" i="8"/>
  <c r="C21" i="8"/>
  <c r="L20" i="8"/>
  <c r="L19" i="8"/>
  <c r="AP16" i="8"/>
  <c r="AP21" i="8" s="1"/>
  <c r="AO16" i="8"/>
  <c r="AO21" i="8" s="1"/>
  <c r="AN16" i="8"/>
  <c r="AN21" i="8" s="1"/>
  <c r="AM16" i="8"/>
  <c r="AL16" i="8"/>
  <c r="AL21" i="8" s="1"/>
  <c r="AK16" i="8"/>
  <c r="AK21" i="8" s="1"/>
  <c r="AJ16" i="8"/>
  <c r="AJ21" i="8" s="1"/>
  <c r="AI16" i="8"/>
  <c r="AH16" i="8"/>
  <c r="AH21" i="8" s="1"/>
  <c r="AG16" i="8"/>
  <c r="AG21" i="8" s="1"/>
  <c r="AF16" i="8"/>
  <c r="AF21" i="8" s="1"/>
  <c r="AE16" i="8"/>
  <c r="AD16" i="8"/>
  <c r="AD21" i="8" s="1"/>
  <c r="AC16" i="8"/>
  <c r="AC21" i="8" s="1"/>
  <c r="AB16" i="8"/>
  <c r="AB21" i="8" s="1"/>
  <c r="AA16" i="8"/>
  <c r="Z16" i="8"/>
  <c r="Z21" i="8" s="1"/>
  <c r="Y16" i="8"/>
  <c r="Y21" i="8" s="1"/>
  <c r="X16" i="8"/>
  <c r="X21" i="8" s="1"/>
  <c r="W16" i="8"/>
  <c r="V16" i="8"/>
  <c r="V21" i="8" s="1"/>
  <c r="U16" i="8"/>
  <c r="U21" i="8" s="1"/>
  <c r="T16" i="8"/>
  <c r="T21" i="8" s="1"/>
  <c r="S16" i="8"/>
  <c r="R16" i="8"/>
  <c r="R21" i="8" s="1"/>
  <c r="Q16" i="8"/>
  <c r="Q21" i="8" s="1"/>
  <c r="P16" i="8"/>
  <c r="P21" i="8" s="1"/>
  <c r="O16" i="8"/>
  <c r="N16" i="8"/>
  <c r="N21" i="8" s="1"/>
  <c r="M16" i="8"/>
  <c r="M21" i="8" s="1"/>
  <c r="M15" i="8"/>
  <c r="L15" i="8"/>
  <c r="L14" i="8"/>
  <c r="C11" i="8"/>
  <c r="L13" i="8" s="1"/>
  <c r="C10" i="8"/>
  <c r="AM8" i="8"/>
  <c r="AM30" i="8" s="1"/>
  <c r="AI8" i="8"/>
  <c r="AI30" i="8" s="1"/>
  <c r="AE8" i="8"/>
  <c r="AE30" i="8" s="1"/>
  <c r="AA8" i="8"/>
  <c r="AA30" i="8" s="1"/>
  <c r="W8" i="8"/>
  <c r="W30" i="8" s="1"/>
  <c r="S8" i="8"/>
  <c r="S30" i="8" s="1"/>
  <c r="O8" i="8"/>
  <c r="O30" i="8" s="1"/>
  <c r="T40" i="10" l="1"/>
  <c r="P40" i="10"/>
  <c r="V40" i="10"/>
  <c r="R40" i="10"/>
  <c r="N40" i="10"/>
  <c r="W40" i="10"/>
  <c r="AF38" i="10"/>
  <c r="AF40" i="10" s="1"/>
  <c r="T25" i="10"/>
  <c r="P30" i="10"/>
  <c r="P10" i="10"/>
  <c r="P9" i="10"/>
  <c r="AA9" i="10"/>
  <c r="AA10" i="10"/>
  <c r="H35" i="10"/>
  <c r="AP8" i="10"/>
  <c r="AL8" i="10"/>
  <c r="AH8" i="10"/>
  <c r="AD8" i="10"/>
  <c r="Z8" i="10"/>
  <c r="V8" i="10"/>
  <c r="R8" i="10"/>
  <c r="N8" i="10"/>
  <c r="AN8" i="10"/>
  <c r="AF8" i="10"/>
  <c r="AB8" i="10"/>
  <c r="AO8" i="10"/>
  <c r="AK8" i="10"/>
  <c r="AG8" i="10"/>
  <c r="AC8" i="10"/>
  <c r="Y8" i="10"/>
  <c r="U8" i="10"/>
  <c r="Q8" i="10"/>
  <c r="M8" i="10"/>
  <c r="AJ8" i="10"/>
  <c r="X8" i="10"/>
  <c r="AJ25" i="10"/>
  <c r="O9" i="10"/>
  <c r="AE9" i="10"/>
  <c r="O10" i="10"/>
  <c r="AE10" i="10"/>
  <c r="T30" i="10"/>
  <c r="T9" i="10"/>
  <c r="T10" i="10"/>
  <c r="S9" i="10"/>
  <c r="AI9" i="10"/>
  <c r="S10" i="10"/>
  <c r="AI10" i="10"/>
  <c r="W9" i="10"/>
  <c r="AM9" i="10"/>
  <c r="W10" i="10"/>
  <c r="AM10" i="10"/>
  <c r="AP25" i="10"/>
  <c r="AL25" i="10"/>
  <c r="AH25" i="10"/>
  <c r="AD25" i="10"/>
  <c r="Z25" i="10"/>
  <c r="V25" i="10"/>
  <c r="R25" i="10"/>
  <c r="AO25" i="10"/>
  <c r="AK25" i="10"/>
  <c r="AG25" i="10"/>
  <c r="AC25" i="10"/>
  <c r="Y25" i="10"/>
  <c r="U25" i="10"/>
  <c r="Q25" i="10"/>
  <c r="M25" i="10"/>
  <c r="AI25" i="10"/>
  <c r="AA25" i="10"/>
  <c r="S25" i="10"/>
  <c r="AM25" i="10"/>
  <c r="O25" i="10"/>
  <c r="AN25" i="10"/>
  <c r="AF25" i="10"/>
  <c r="X25" i="10"/>
  <c r="P25" i="10"/>
  <c r="W25" i="10"/>
  <c r="AE25" i="10"/>
  <c r="AB25" i="10"/>
  <c r="M9" i="9"/>
  <c r="Q9" i="9"/>
  <c r="U9" i="9"/>
  <c r="Y9" i="9"/>
  <c r="AC9" i="9"/>
  <c r="AG9" i="9"/>
  <c r="AK9" i="9"/>
  <c r="AO9" i="9"/>
  <c r="M10" i="9"/>
  <c r="Q10" i="9"/>
  <c r="U10" i="9"/>
  <c r="Y10" i="9"/>
  <c r="AC10" i="9"/>
  <c r="AG10" i="9"/>
  <c r="AK10" i="9"/>
  <c r="AO10" i="9"/>
  <c r="N8" i="9"/>
  <c r="R8" i="9"/>
  <c r="V8" i="9"/>
  <c r="Z8" i="9"/>
  <c r="AD8" i="9"/>
  <c r="AH8" i="9"/>
  <c r="AL8" i="9"/>
  <c r="AP8" i="9"/>
  <c r="L16" i="9"/>
  <c r="L21" i="9" s="1"/>
  <c r="L47" i="9" s="1"/>
  <c r="T25" i="9"/>
  <c r="AF37" i="9"/>
  <c r="AP37" i="9"/>
  <c r="V37" i="9"/>
  <c r="O9" i="9"/>
  <c r="S9" i="9"/>
  <c r="W9" i="9"/>
  <c r="AE9" i="9"/>
  <c r="AE24" i="9" s="1"/>
  <c r="AI9" i="9"/>
  <c r="AM9" i="9"/>
  <c r="AM24" i="9" s="1"/>
  <c r="O10" i="9"/>
  <c r="S10" i="9"/>
  <c r="W10" i="9"/>
  <c r="AA10" i="9"/>
  <c r="AE10" i="9"/>
  <c r="AI10" i="9"/>
  <c r="AM10" i="9"/>
  <c r="AP25" i="9"/>
  <c r="AL25" i="9"/>
  <c r="AH25" i="9"/>
  <c r="AD25" i="9"/>
  <c r="Z25" i="9"/>
  <c r="V25" i="9"/>
  <c r="R25" i="9"/>
  <c r="N25" i="9"/>
  <c r="AO25" i="9"/>
  <c r="AK25" i="9"/>
  <c r="AG25" i="9"/>
  <c r="AC25" i="9"/>
  <c r="Y25" i="9"/>
  <c r="U25" i="9"/>
  <c r="Q25" i="9"/>
  <c r="M25" i="9"/>
  <c r="AM25" i="9"/>
  <c r="AI25" i="9"/>
  <c r="AE25" i="9"/>
  <c r="AA25" i="9"/>
  <c r="W25" i="9"/>
  <c r="S25" i="9"/>
  <c r="O25" i="9"/>
  <c r="X25" i="9"/>
  <c r="AN25" i="9"/>
  <c r="AA9" i="9"/>
  <c r="AA24" i="9" s="1"/>
  <c r="AA31" i="9" s="1"/>
  <c r="P8" i="9"/>
  <c r="T8" i="9"/>
  <c r="X8" i="9"/>
  <c r="AB8" i="9"/>
  <c r="AF8" i="9"/>
  <c r="AJ8" i="9"/>
  <c r="AN8" i="9"/>
  <c r="AB25" i="9"/>
  <c r="O9" i="8"/>
  <c r="O24" i="8" s="1"/>
  <c r="O31" i="8" s="1"/>
  <c r="O41" i="8" s="1"/>
  <c r="O43" i="8" s="1"/>
  <c r="O47" i="8" s="1"/>
  <c r="S9" i="8"/>
  <c r="AA9" i="8"/>
  <c r="AI9" i="8"/>
  <c r="AM9" i="8"/>
  <c r="AM24" i="8" s="1"/>
  <c r="AM31" i="8" s="1"/>
  <c r="AM41" i="8" s="1"/>
  <c r="AM43" i="8" s="1"/>
  <c r="AM47" i="8" s="1"/>
  <c r="O10" i="8"/>
  <c r="W10" i="8"/>
  <c r="AE10" i="8"/>
  <c r="AI10" i="8"/>
  <c r="AM10" i="8"/>
  <c r="AF37" i="8"/>
  <c r="AP37" i="8"/>
  <c r="V37" i="8"/>
  <c r="W9" i="8"/>
  <c r="W24" i="8" s="1"/>
  <c r="W31" i="8" s="1"/>
  <c r="W41" i="8" s="1"/>
  <c r="W43" i="8" s="1"/>
  <c r="AE9" i="8"/>
  <c r="AE24" i="8" s="1"/>
  <c r="AE31" i="8" s="1"/>
  <c r="AE41" i="8" s="1"/>
  <c r="AE43" i="8" s="1"/>
  <c r="AE47" i="8" s="1"/>
  <c r="S10" i="8"/>
  <c r="AA10" i="8"/>
  <c r="W47" i="8"/>
  <c r="P8" i="8"/>
  <c r="X8" i="8"/>
  <c r="AJ8" i="8"/>
  <c r="M8" i="8"/>
  <c r="Y8" i="8"/>
  <c r="AK8" i="8"/>
  <c r="T8" i="8"/>
  <c r="AB8" i="8"/>
  <c r="AF8" i="8"/>
  <c r="AN8" i="8"/>
  <c r="Q8" i="8"/>
  <c r="U8" i="8"/>
  <c r="AC8" i="8"/>
  <c r="AG8" i="8"/>
  <c r="AO8" i="8"/>
  <c r="L12" i="8"/>
  <c r="N8" i="8"/>
  <c r="R8" i="8"/>
  <c r="V8" i="8"/>
  <c r="Z8" i="8"/>
  <c r="AD8" i="8"/>
  <c r="AH8" i="8"/>
  <c r="AL8" i="8"/>
  <c r="AP8" i="8"/>
  <c r="P25" i="8"/>
  <c r="T25" i="8"/>
  <c r="X25" i="8"/>
  <c r="AB25" i="8"/>
  <c r="AF25" i="8"/>
  <c r="AJ25" i="8"/>
  <c r="AN25" i="8"/>
  <c r="M25" i="8"/>
  <c r="Q25" i="8"/>
  <c r="U25" i="8"/>
  <c r="Y25" i="8"/>
  <c r="AC25" i="8"/>
  <c r="AG25" i="8"/>
  <c r="AK25" i="8"/>
  <c r="AO25" i="8"/>
  <c r="N25" i="8"/>
  <c r="R25" i="8"/>
  <c r="V25" i="8"/>
  <c r="Z25" i="8"/>
  <c r="AD25" i="8"/>
  <c r="AH25" i="8"/>
  <c r="AL25" i="8"/>
  <c r="W24" i="10" l="1"/>
  <c r="W31" i="10" s="1"/>
  <c r="W42" i="10" s="1"/>
  <c r="W44" i="10" s="1"/>
  <c r="W48" i="10" s="1"/>
  <c r="P24" i="10"/>
  <c r="AI24" i="10"/>
  <c r="O24" i="10"/>
  <c r="O31" i="10" s="1"/>
  <c r="O42" i="10" s="1"/>
  <c r="O44" i="10" s="1"/>
  <c r="O48" i="10" s="1"/>
  <c r="AA24" i="10"/>
  <c r="AA31" i="10" s="1"/>
  <c r="AA42" i="10" s="1"/>
  <c r="AA44" i="10" s="1"/>
  <c r="AA48" i="10" s="1"/>
  <c r="AM24" i="10"/>
  <c r="AM31" i="10" s="1"/>
  <c r="AM42" i="10" s="1"/>
  <c r="AM44" i="10" s="1"/>
  <c r="AM48" i="10" s="1"/>
  <c r="T24" i="10"/>
  <c r="T31" i="10" s="1"/>
  <c r="T42" i="10" s="1"/>
  <c r="T44" i="10" s="1"/>
  <c r="T48" i="10" s="1"/>
  <c r="AE24" i="10"/>
  <c r="AE31" i="10" s="1"/>
  <c r="AE42" i="10" s="1"/>
  <c r="AE44" i="10" s="1"/>
  <c r="AE48" i="10" s="1"/>
  <c r="AI31" i="10"/>
  <c r="AI42" i="10" s="1"/>
  <c r="AI44" i="10" s="1"/>
  <c r="AI48" i="10" s="1"/>
  <c r="M30" i="10"/>
  <c r="M10" i="10"/>
  <c r="M9" i="10"/>
  <c r="M24" i="10" s="1"/>
  <c r="M31" i="10" s="1"/>
  <c r="M42" i="10" s="1"/>
  <c r="M44" i="10" s="1"/>
  <c r="M48" i="10" s="1"/>
  <c r="AC30" i="10"/>
  <c r="AC10" i="10"/>
  <c r="AC9" i="10"/>
  <c r="AB30" i="10"/>
  <c r="AB9" i="10"/>
  <c r="AB10" i="10"/>
  <c r="R30" i="10"/>
  <c r="R10" i="10"/>
  <c r="R9" i="10"/>
  <c r="AH30" i="10"/>
  <c r="AH10" i="10"/>
  <c r="AH9" i="10"/>
  <c r="AH24" i="10" s="1"/>
  <c r="AH31" i="10" s="1"/>
  <c r="AH42" i="10" s="1"/>
  <c r="AH44" i="10" s="1"/>
  <c r="AH48" i="10" s="1"/>
  <c r="S24" i="10"/>
  <c r="S31" i="10" s="1"/>
  <c r="S42" i="10" s="1"/>
  <c r="S44" i="10" s="1"/>
  <c r="S48" i="10" s="1"/>
  <c r="Q10" i="10"/>
  <c r="Q9" i="10"/>
  <c r="Q30" i="10"/>
  <c r="AG10" i="10"/>
  <c r="AG9" i="10"/>
  <c r="AG30" i="10"/>
  <c r="AF30" i="10"/>
  <c r="AF9" i="10"/>
  <c r="AF10" i="10"/>
  <c r="V30" i="10"/>
  <c r="V10" i="10"/>
  <c r="V9" i="10"/>
  <c r="AL30" i="10"/>
  <c r="AL10" i="10"/>
  <c r="AL9" i="10"/>
  <c r="AL24" i="10" s="1"/>
  <c r="C54" i="10"/>
  <c r="L21" i="10"/>
  <c r="L48" i="10" s="1"/>
  <c r="X30" i="10"/>
  <c r="X10" i="10"/>
  <c r="X9" i="10"/>
  <c r="U10" i="10"/>
  <c r="U9" i="10"/>
  <c r="U30" i="10"/>
  <c r="AK30" i="10"/>
  <c r="AK10" i="10"/>
  <c r="AK9" i="10"/>
  <c r="AN30" i="10"/>
  <c r="AN9" i="10"/>
  <c r="AN10" i="10"/>
  <c r="Z30" i="10"/>
  <c r="Z10" i="10"/>
  <c r="Z9" i="10"/>
  <c r="AP30" i="10"/>
  <c r="AP10" i="10"/>
  <c r="AP9" i="10"/>
  <c r="AP24" i="10" s="1"/>
  <c r="AJ30" i="10"/>
  <c r="AJ9" i="10"/>
  <c r="AJ10" i="10"/>
  <c r="Y30" i="10"/>
  <c r="Y10" i="10"/>
  <c r="Y9" i="10"/>
  <c r="AO30" i="10"/>
  <c r="AO10" i="10"/>
  <c r="AO9" i="10"/>
  <c r="N30" i="10"/>
  <c r="N10" i="10"/>
  <c r="N9" i="10"/>
  <c r="AD30" i="10"/>
  <c r="AD10" i="10"/>
  <c r="AD9" i="10"/>
  <c r="P31" i="10"/>
  <c r="P42" i="10" s="1"/>
  <c r="P44" i="10" s="1"/>
  <c r="P48" i="10" s="1"/>
  <c r="AA41" i="9"/>
  <c r="AA43" i="9" s="1"/>
  <c r="AA47" i="9" s="1"/>
  <c r="AB30" i="9"/>
  <c r="AB10" i="9"/>
  <c r="AB9" i="9"/>
  <c r="AB24" i="9" s="1"/>
  <c r="AB31" i="9" s="1"/>
  <c r="AB41" i="9" s="1"/>
  <c r="AB43" i="9" s="1"/>
  <c r="AB47" i="9" s="1"/>
  <c r="AN30" i="9"/>
  <c r="AN10" i="9"/>
  <c r="AN9" i="9"/>
  <c r="X30" i="9"/>
  <c r="X10" i="9"/>
  <c r="X9" i="9"/>
  <c r="X24" i="9" s="1"/>
  <c r="W24" i="9"/>
  <c r="W31" i="9" s="1"/>
  <c r="W41" i="9" s="1"/>
  <c r="W43" i="9" s="1"/>
  <c r="W47" i="9" s="1"/>
  <c r="AP30" i="9"/>
  <c r="AP10" i="9"/>
  <c r="AP9" i="9"/>
  <c r="AP24" i="9" s="1"/>
  <c r="Z30" i="9"/>
  <c r="Z10" i="9"/>
  <c r="Z9" i="9"/>
  <c r="AC24" i="9"/>
  <c r="AC31" i="9" s="1"/>
  <c r="AC41" i="9" s="1"/>
  <c r="AC43" i="9" s="1"/>
  <c r="AC47" i="9" s="1"/>
  <c r="M24" i="9"/>
  <c r="M31" i="9" s="1"/>
  <c r="M41" i="9" s="1"/>
  <c r="M43" i="9" s="1"/>
  <c r="M47" i="9" s="1"/>
  <c r="M48" i="9" s="1"/>
  <c r="M50" i="9" s="1"/>
  <c r="AJ30" i="9"/>
  <c r="AJ10" i="9"/>
  <c r="AJ9" i="9"/>
  <c r="AJ24" i="9" s="1"/>
  <c r="AM31" i="9"/>
  <c r="AM41" i="9" s="1"/>
  <c r="AM43" i="9" s="1"/>
  <c r="AM47" i="9" s="1"/>
  <c r="S24" i="9"/>
  <c r="S31" i="9" s="1"/>
  <c r="S41" i="9" s="1"/>
  <c r="S43" i="9" s="1"/>
  <c r="S47" i="9" s="1"/>
  <c r="AL30" i="9"/>
  <c r="AL10" i="9"/>
  <c r="AL9" i="9"/>
  <c r="V30" i="9"/>
  <c r="V10" i="9"/>
  <c r="V9" i="9"/>
  <c r="V24" i="9" s="1"/>
  <c r="AO24" i="9"/>
  <c r="AO31" i="9" s="1"/>
  <c r="AO41" i="9" s="1"/>
  <c r="AO43" i="9" s="1"/>
  <c r="AO47" i="9" s="1"/>
  <c r="Y24" i="9"/>
  <c r="Y31" i="9" s="1"/>
  <c r="Y41" i="9" s="1"/>
  <c r="Y43" i="9" s="1"/>
  <c r="Y47" i="9" s="1"/>
  <c r="T30" i="9"/>
  <c r="T10" i="9"/>
  <c r="T9" i="9"/>
  <c r="AF30" i="9"/>
  <c r="AF10" i="9"/>
  <c r="AF9" i="9"/>
  <c r="AF24" i="9" s="1"/>
  <c r="P30" i="9"/>
  <c r="P10" i="9"/>
  <c r="P9" i="9"/>
  <c r="AI24" i="9"/>
  <c r="AI31" i="9" s="1"/>
  <c r="AI41" i="9" s="1"/>
  <c r="AI43" i="9" s="1"/>
  <c r="AI47" i="9" s="1"/>
  <c r="O24" i="9"/>
  <c r="O31" i="9" s="1"/>
  <c r="O41" i="9" s="1"/>
  <c r="O43" i="9" s="1"/>
  <c r="O47" i="9" s="1"/>
  <c r="AH30" i="9"/>
  <c r="AH10" i="9"/>
  <c r="AH9" i="9"/>
  <c r="AH24" i="9" s="1"/>
  <c r="R30" i="9"/>
  <c r="R10" i="9"/>
  <c r="R9" i="9"/>
  <c r="AK24" i="9"/>
  <c r="AK31" i="9" s="1"/>
  <c r="AK41" i="9" s="1"/>
  <c r="AK43" i="9" s="1"/>
  <c r="AK47" i="9" s="1"/>
  <c r="U24" i="9"/>
  <c r="U31" i="9" s="1"/>
  <c r="U41" i="9" s="1"/>
  <c r="U43" i="9" s="1"/>
  <c r="U47" i="9" s="1"/>
  <c r="AE31" i="9"/>
  <c r="AE41" i="9" s="1"/>
  <c r="AE43" i="9" s="1"/>
  <c r="AE47" i="9" s="1"/>
  <c r="L48" i="9"/>
  <c r="AD30" i="9"/>
  <c r="AD10" i="9"/>
  <c r="AD9" i="9"/>
  <c r="N30" i="9"/>
  <c r="N10" i="9"/>
  <c r="N9" i="9"/>
  <c r="N24" i="9" s="1"/>
  <c r="N31" i="9" s="1"/>
  <c r="N41" i="9" s="1"/>
  <c r="N43" i="9" s="1"/>
  <c r="N47" i="9" s="1"/>
  <c r="AG24" i="9"/>
  <c r="AG31" i="9" s="1"/>
  <c r="AG41" i="9" s="1"/>
  <c r="AG43" i="9" s="1"/>
  <c r="AG47" i="9" s="1"/>
  <c r="Q24" i="9"/>
  <c r="Q31" i="9" s="1"/>
  <c r="Q41" i="9" s="1"/>
  <c r="Q43" i="9" s="1"/>
  <c r="Q47" i="9" s="1"/>
  <c r="C50" i="8"/>
  <c r="L16" i="8"/>
  <c r="L21" i="8" s="1"/>
  <c r="L47" i="8" s="1"/>
  <c r="AL30" i="8"/>
  <c r="AL10" i="8"/>
  <c r="AL9" i="8"/>
  <c r="V30" i="8"/>
  <c r="V10" i="8"/>
  <c r="V9" i="8"/>
  <c r="V24" i="8" s="1"/>
  <c r="V31" i="8" s="1"/>
  <c r="V41" i="8" s="1"/>
  <c r="V43" i="8" s="1"/>
  <c r="V47" i="8" s="1"/>
  <c r="AO10" i="8"/>
  <c r="AO9" i="8"/>
  <c r="AO24" i="8" s="1"/>
  <c r="AO31" i="8" s="1"/>
  <c r="AO41" i="8" s="1"/>
  <c r="AO43" i="8" s="1"/>
  <c r="AO47" i="8" s="1"/>
  <c r="AO30" i="8"/>
  <c r="Q30" i="8"/>
  <c r="Q9" i="8"/>
  <c r="Q10" i="8"/>
  <c r="T30" i="8"/>
  <c r="T10" i="8"/>
  <c r="T9" i="8"/>
  <c r="AJ30" i="8"/>
  <c r="AJ10" i="8"/>
  <c r="AJ9" i="8"/>
  <c r="AJ24" i="8" s="1"/>
  <c r="AJ31" i="8" s="1"/>
  <c r="AJ41" i="8" s="1"/>
  <c r="AJ43" i="8" s="1"/>
  <c r="AJ47" i="8" s="1"/>
  <c r="AI24" i="8"/>
  <c r="AI31" i="8" s="1"/>
  <c r="AI41" i="8" s="1"/>
  <c r="AI43" i="8" s="1"/>
  <c r="AI47" i="8" s="1"/>
  <c r="Z30" i="8"/>
  <c r="Z10" i="8"/>
  <c r="Z9" i="8"/>
  <c r="Z24" i="8" s="1"/>
  <c r="Z31" i="8" s="1"/>
  <c r="Z41" i="8" s="1"/>
  <c r="Z43" i="8" s="1"/>
  <c r="Z47" i="8" s="1"/>
  <c r="AB30" i="8"/>
  <c r="AB10" i="8"/>
  <c r="AB9" i="8"/>
  <c r="AH30" i="8"/>
  <c r="AH10" i="8"/>
  <c r="AH9" i="8"/>
  <c r="AH24" i="8" s="1"/>
  <c r="R30" i="8"/>
  <c r="R10" i="8"/>
  <c r="R9" i="8"/>
  <c r="AG30" i="8"/>
  <c r="AG10" i="8"/>
  <c r="AG9" i="8"/>
  <c r="AG24" i="8" s="1"/>
  <c r="AG31" i="8" s="1"/>
  <c r="AG41" i="8" s="1"/>
  <c r="AG43" i="8" s="1"/>
  <c r="AG47" i="8" s="1"/>
  <c r="AN30" i="8"/>
  <c r="AN10" i="8"/>
  <c r="AN9" i="8"/>
  <c r="AK10" i="8"/>
  <c r="AK9" i="8"/>
  <c r="AK30" i="8"/>
  <c r="X30" i="8"/>
  <c r="X10" i="8"/>
  <c r="X9" i="8"/>
  <c r="AA24" i="8"/>
  <c r="AA31" i="8" s="1"/>
  <c r="AA41" i="8" s="1"/>
  <c r="AA43" i="8" s="1"/>
  <c r="AA47" i="8" s="1"/>
  <c r="AP30" i="8"/>
  <c r="AP10" i="8"/>
  <c r="AP9" i="8"/>
  <c r="U10" i="8"/>
  <c r="U9" i="8"/>
  <c r="U30" i="8"/>
  <c r="M10" i="8"/>
  <c r="M30" i="8"/>
  <c r="M9" i="8"/>
  <c r="AD30" i="8"/>
  <c r="AD10" i="8"/>
  <c r="AD9" i="8"/>
  <c r="AD24" i="8" s="1"/>
  <c r="N30" i="8"/>
  <c r="N10" i="8"/>
  <c r="N9" i="8"/>
  <c r="AC10" i="8"/>
  <c r="AC9" i="8"/>
  <c r="AC30" i="8"/>
  <c r="AF30" i="8"/>
  <c r="AF10" i="8"/>
  <c r="AF9" i="8"/>
  <c r="Y9" i="8"/>
  <c r="Y24" i="8" s="1"/>
  <c r="Y31" i="8" s="1"/>
  <c r="Y41" i="8" s="1"/>
  <c r="Y43" i="8" s="1"/>
  <c r="Y47" i="8" s="1"/>
  <c r="Y10" i="8"/>
  <c r="Y30" i="8"/>
  <c r="P30" i="8"/>
  <c r="P10" i="8"/>
  <c r="P9" i="8"/>
  <c r="S24" i="8"/>
  <c r="S31" i="8" s="1"/>
  <c r="S41" i="8" s="1"/>
  <c r="S43" i="8" s="1"/>
  <c r="S47" i="8" s="1"/>
  <c r="AP31" i="10" l="1"/>
  <c r="AP42" i="10" s="1"/>
  <c r="AP44" i="10" s="1"/>
  <c r="AP48" i="10" s="1"/>
  <c r="AL31" i="10"/>
  <c r="AL42" i="10" s="1"/>
  <c r="AL44" i="10" s="1"/>
  <c r="AL48" i="10" s="1"/>
  <c r="AO24" i="10"/>
  <c r="AO31" i="10" s="1"/>
  <c r="AO42" i="10" s="1"/>
  <c r="AO44" i="10" s="1"/>
  <c r="AO48" i="10" s="1"/>
  <c r="N24" i="10"/>
  <c r="N31" i="10" s="1"/>
  <c r="AK24" i="10"/>
  <c r="AK31" i="10" s="1"/>
  <c r="AK42" i="10" s="1"/>
  <c r="AK44" i="10" s="1"/>
  <c r="AK48" i="10" s="1"/>
  <c r="U24" i="10"/>
  <c r="Q24" i="10"/>
  <c r="Q31" i="10" s="1"/>
  <c r="Q42" i="10" s="1"/>
  <c r="Q44" i="10" s="1"/>
  <c r="Q48" i="10" s="1"/>
  <c r="AC24" i="10"/>
  <c r="AC31" i="10" s="1"/>
  <c r="AC42" i="10" s="1"/>
  <c r="AC44" i="10" s="1"/>
  <c r="AC48" i="10" s="1"/>
  <c r="AJ24" i="10"/>
  <c r="AJ31" i="10" s="1"/>
  <c r="AJ42" i="10" s="1"/>
  <c r="AJ44" i="10" s="1"/>
  <c r="AJ48" i="10" s="1"/>
  <c r="AN24" i="10"/>
  <c r="AN31" i="10" s="1"/>
  <c r="AN42" i="10" s="1"/>
  <c r="AN44" i="10" s="1"/>
  <c r="AN48" i="10" s="1"/>
  <c r="AF24" i="10"/>
  <c r="AF31" i="10" s="1"/>
  <c r="AF42" i="10" s="1"/>
  <c r="AF44" i="10" s="1"/>
  <c r="AF48" i="10" s="1"/>
  <c r="AB24" i="10"/>
  <c r="Y24" i="10"/>
  <c r="Y31" i="10" s="1"/>
  <c r="Y42" i="10" s="1"/>
  <c r="Y44" i="10" s="1"/>
  <c r="Y48" i="10" s="1"/>
  <c r="Z24" i="10"/>
  <c r="Z31" i="10" s="1"/>
  <c r="Z42" i="10" s="1"/>
  <c r="Z44" i="10" s="1"/>
  <c r="Z48" i="10" s="1"/>
  <c r="X24" i="10"/>
  <c r="X31" i="10" s="1"/>
  <c r="X42" i="10" s="1"/>
  <c r="X44" i="10" s="1"/>
  <c r="X48" i="10" s="1"/>
  <c r="V24" i="10"/>
  <c r="V31" i="10" s="1"/>
  <c r="V42" i="10" s="1"/>
  <c r="V44" i="10" s="1"/>
  <c r="V48" i="10" s="1"/>
  <c r="U31" i="10"/>
  <c r="U42" i="10" s="1"/>
  <c r="U44" i="10" s="1"/>
  <c r="U48" i="10" s="1"/>
  <c r="AD24" i="10"/>
  <c r="AD31" i="10" s="1"/>
  <c r="AD42" i="10" s="1"/>
  <c r="AD44" i="10" s="1"/>
  <c r="AD48" i="10" s="1"/>
  <c r="M49" i="10"/>
  <c r="M51" i="10" s="1"/>
  <c r="L49" i="10"/>
  <c r="AG24" i="10"/>
  <c r="AG31" i="10" s="1"/>
  <c r="AG42" i="10" s="1"/>
  <c r="AG44" i="10" s="1"/>
  <c r="AG48" i="10" s="1"/>
  <c r="R24" i="10"/>
  <c r="R31" i="10" s="1"/>
  <c r="R42" i="10" s="1"/>
  <c r="R44" i="10" s="1"/>
  <c r="R48" i="10" s="1"/>
  <c r="AB31" i="10"/>
  <c r="AB42" i="10" s="1"/>
  <c r="AB44" i="10" s="1"/>
  <c r="AB48" i="10" s="1"/>
  <c r="V31" i="9"/>
  <c r="V41" i="9" s="1"/>
  <c r="V43" i="9" s="1"/>
  <c r="V47" i="9" s="1"/>
  <c r="AP31" i="9"/>
  <c r="AP41" i="9" s="1"/>
  <c r="AP43" i="9" s="1"/>
  <c r="AP47" i="9" s="1"/>
  <c r="AD24" i="9"/>
  <c r="AD31" i="9" s="1"/>
  <c r="AD41" i="9" s="1"/>
  <c r="AD43" i="9" s="1"/>
  <c r="AD47" i="9" s="1"/>
  <c r="R24" i="9"/>
  <c r="R31" i="9" s="1"/>
  <c r="R41" i="9" s="1"/>
  <c r="R43" i="9" s="1"/>
  <c r="R47" i="9" s="1"/>
  <c r="P24" i="9"/>
  <c r="P31" i="9" s="1"/>
  <c r="P41" i="9" s="1"/>
  <c r="P43" i="9" s="1"/>
  <c r="P47" i="9" s="1"/>
  <c r="Q48" i="9" s="1"/>
  <c r="Q50" i="9" s="1"/>
  <c r="Z24" i="9"/>
  <c r="Z31" i="9" s="1"/>
  <c r="Z41" i="9" s="1"/>
  <c r="Z43" i="9" s="1"/>
  <c r="Z47" i="9" s="1"/>
  <c r="N48" i="9"/>
  <c r="N50" i="9" s="1"/>
  <c r="O48" i="9"/>
  <c r="O50" i="9" s="1"/>
  <c r="P48" i="9"/>
  <c r="P50" i="9" s="1"/>
  <c r="T24" i="9"/>
  <c r="T31" i="9" s="1"/>
  <c r="T41" i="9" s="1"/>
  <c r="T43" i="9" s="1"/>
  <c r="T47" i="9" s="1"/>
  <c r="AL24" i="9"/>
  <c r="AL31" i="9" s="1"/>
  <c r="AL41" i="9" s="1"/>
  <c r="AL43" i="9" s="1"/>
  <c r="AL47" i="9" s="1"/>
  <c r="AN24" i="9"/>
  <c r="AN31" i="9" s="1"/>
  <c r="AN41" i="9" s="1"/>
  <c r="AN43" i="9" s="1"/>
  <c r="AN47" i="9" s="1"/>
  <c r="AH31" i="9"/>
  <c r="AH41" i="9" s="1"/>
  <c r="AH43" i="9" s="1"/>
  <c r="AH47" i="9" s="1"/>
  <c r="AF31" i="9"/>
  <c r="AF41" i="9" s="1"/>
  <c r="AF43" i="9" s="1"/>
  <c r="AF47" i="9" s="1"/>
  <c r="AJ31" i="9"/>
  <c r="AJ41" i="9" s="1"/>
  <c r="AJ43" i="9" s="1"/>
  <c r="AJ47" i="9" s="1"/>
  <c r="X31" i="9"/>
  <c r="X41" i="9" s="1"/>
  <c r="X43" i="9" s="1"/>
  <c r="X47" i="9" s="1"/>
  <c r="AF24" i="8"/>
  <c r="AF31" i="8" s="1"/>
  <c r="AF41" i="8" s="1"/>
  <c r="AF43" i="8" s="1"/>
  <c r="AF47" i="8" s="1"/>
  <c r="AC24" i="8"/>
  <c r="AC31" i="8" s="1"/>
  <c r="AC41" i="8" s="1"/>
  <c r="AC43" i="8" s="1"/>
  <c r="AC47" i="8" s="1"/>
  <c r="M24" i="8"/>
  <c r="M31" i="8" s="1"/>
  <c r="M41" i="8" s="1"/>
  <c r="M43" i="8" s="1"/>
  <c r="M47" i="8" s="1"/>
  <c r="M48" i="8" s="1"/>
  <c r="M50" i="8" s="1"/>
  <c r="U24" i="8"/>
  <c r="U31" i="8" s="1"/>
  <c r="U41" i="8" s="1"/>
  <c r="U43" i="8" s="1"/>
  <c r="U47" i="8" s="1"/>
  <c r="AN24" i="8"/>
  <c r="AN31" i="8" s="1"/>
  <c r="AN41" i="8" s="1"/>
  <c r="AN43" i="8" s="1"/>
  <c r="AN47" i="8" s="1"/>
  <c r="AB24" i="8"/>
  <c r="AB31" i="8" s="1"/>
  <c r="AB41" i="8" s="1"/>
  <c r="AB43" i="8" s="1"/>
  <c r="AB47" i="8" s="1"/>
  <c r="AH31" i="8"/>
  <c r="AH41" i="8" s="1"/>
  <c r="AH43" i="8" s="1"/>
  <c r="AH47" i="8" s="1"/>
  <c r="L48" i="8"/>
  <c r="AD31" i="8"/>
  <c r="AD41" i="8" s="1"/>
  <c r="AD43" i="8" s="1"/>
  <c r="AD47" i="8" s="1"/>
  <c r="P24" i="8"/>
  <c r="P31" i="8" s="1"/>
  <c r="P41" i="8" s="1"/>
  <c r="P43" i="8" s="1"/>
  <c r="P47" i="8" s="1"/>
  <c r="N24" i="8"/>
  <c r="N31" i="8" s="1"/>
  <c r="N41" i="8" s="1"/>
  <c r="N43" i="8" s="1"/>
  <c r="N47" i="8" s="1"/>
  <c r="H8" i="8" s="1"/>
  <c r="AP24" i="8"/>
  <c r="AP31" i="8" s="1"/>
  <c r="AP41" i="8" s="1"/>
  <c r="AP43" i="8" s="1"/>
  <c r="AP47" i="8" s="1"/>
  <c r="X24" i="8"/>
  <c r="X31" i="8" s="1"/>
  <c r="X41" i="8" s="1"/>
  <c r="X43" i="8" s="1"/>
  <c r="X47" i="8" s="1"/>
  <c r="AK24" i="8"/>
  <c r="AK31" i="8" s="1"/>
  <c r="AK41" i="8" s="1"/>
  <c r="AK43" i="8" s="1"/>
  <c r="AK47" i="8" s="1"/>
  <c r="R24" i="8"/>
  <c r="R31" i="8" s="1"/>
  <c r="R41" i="8" s="1"/>
  <c r="R43" i="8" s="1"/>
  <c r="R47" i="8" s="1"/>
  <c r="T24" i="8"/>
  <c r="T31" i="8" s="1"/>
  <c r="T41" i="8" s="1"/>
  <c r="T43" i="8" s="1"/>
  <c r="T47" i="8" s="1"/>
  <c r="Q24" i="8"/>
  <c r="Q31" i="8" s="1"/>
  <c r="Q41" i="8" s="1"/>
  <c r="Q43" i="8" s="1"/>
  <c r="Q47" i="8" s="1"/>
  <c r="AL24" i="8"/>
  <c r="AL31" i="8" s="1"/>
  <c r="AL41" i="8" s="1"/>
  <c r="AL43" i="8" s="1"/>
  <c r="AL47" i="8" s="1"/>
  <c r="N42" i="10" l="1"/>
  <c r="N44" i="10" s="1"/>
  <c r="N48" i="10" s="1"/>
  <c r="H8" i="10" s="1"/>
  <c r="H11" i="10"/>
  <c r="T48" i="9"/>
  <c r="T50" i="9" s="1"/>
  <c r="AK48" i="9"/>
  <c r="AK50" i="9" s="1"/>
  <c r="R48" i="9"/>
  <c r="R50" i="9" s="1"/>
  <c r="AO48" i="9"/>
  <c r="AO50" i="9" s="1"/>
  <c r="S48" i="9"/>
  <c r="S50" i="9" s="1"/>
  <c r="AF48" i="9"/>
  <c r="AF50" i="9" s="1"/>
  <c r="AD48" i="9"/>
  <c r="AD50" i="9" s="1"/>
  <c r="X48" i="9"/>
  <c r="X50" i="9" s="1"/>
  <c r="V48" i="9"/>
  <c r="V50" i="9" s="1"/>
  <c r="H8" i="9"/>
  <c r="AP48" i="9"/>
  <c r="AP50" i="9" s="1"/>
  <c r="AM48" i="9"/>
  <c r="AM50" i="9" s="1"/>
  <c r="H10" i="9"/>
  <c r="AJ48" i="9"/>
  <c r="AJ50" i="9" s="1"/>
  <c r="AC48" i="9"/>
  <c r="AC50" i="9" s="1"/>
  <c r="H11" i="9"/>
  <c r="U48" i="9"/>
  <c r="U50" i="9" s="1"/>
  <c r="Z48" i="9"/>
  <c r="Z50" i="9" s="1"/>
  <c r="AG48" i="9"/>
  <c r="AG50" i="9" s="1"/>
  <c r="AE48" i="9"/>
  <c r="AE50" i="9" s="1"/>
  <c r="Y48" i="9"/>
  <c r="Y50" i="9" s="1"/>
  <c r="W48" i="9"/>
  <c r="W50" i="9" s="1"/>
  <c r="AI48" i="9"/>
  <c r="AI50" i="9" s="1"/>
  <c r="AB48" i="9"/>
  <c r="AB50" i="9" s="1"/>
  <c r="AN48" i="9"/>
  <c r="AN50" i="9" s="1"/>
  <c r="AL48" i="9"/>
  <c r="AL50" i="9" s="1"/>
  <c r="AH48" i="9"/>
  <c r="AH50" i="9" s="1"/>
  <c r="AA48" i="9"/>
  <c r="AA50" i="9" s="1"/>
  <c r="AB48" i="8"/>
  <c r="AB50" i="8" s="1"/>
  <c r="AK48" i="8"/>
  <c r="AK50" i="8" s="1"/>
  <c r="H11" i="8"/>
  <c r="V48" i="8"/>
  <c r="V50" i="8" s="1"/>
  <c r="AL48" i="8"/>
  <c r="AL50" i="8" s="1"/>
  <c r="W48" i="8"/>
  <c r="W50" i="8" s="1"/>
  <c r="AM48" i="8"/>
  <c r="AM50" i="8" s="1"/>
  <c r="X48" i="8"/>
  <c r="X50" i="8" s="1"/>
  <c r="AN48" i="8"/>
  <c r="AN50" i="8" s="1"/>
  <c r="Y48" i="8"/>
  <c r="Y50" i="8" s="1"/>
  <c r="AO48" i="8"/>
  <c r="AO50" i="8" s="1"/>
  <c r="Z48" i="8"/>
  <c r="Z50" i="8" s="1"/>
  <c r="AP48" i="8"/>
  <c r="AP50" i="8" s="1"/>
  <c r="AA48" i="8"/>
  <c r="AA50" i="8" s="1"/>
  <c r="AC48" i="8"/>
  <c r="AC50" i="8" s="1"/>
  <c r="N48" i="8"/>
  <c r="N50" i="8" s="1"/>
  <c r="AD48" i="8"/>
  <c r="AD50" i="8" s="1"/>
  <c r="O48" i="8"/>
  <c r="O50" i="8" s="1"/>
  <c r="AE48" i="8"/>
  <c r="AE50" i="8" s="1"/>
  <c r="P48" i="8"/>
  <c r="P50" i="8" s="1"/>
  <c r="AF48" i="8"/>
  <c r="AF50" i="8" s="1"/>
  <c r="Q48" i="8"/>
  <c r="Q50" i="8" s="1"/>
  <c r="AG48" i="8"/>
  <c r="AG50" i="8" s="1"/>
  <c r="H10" i="8"/>
  <c r="R48" i="8"/>
  <c r="R50" i="8" s="1"/>
  <c r="AH48" i="8"/>
  <c r="AH50" i="8" s="1"/>
  <c r="S48" i="8"/>
  <c r="S50" i="8" s="1"/>
  <c r="AI48" i="8"/>
  <c r="AI50" i="8" s="1"/>
  <c r="T48" i="8"/>
  <c r="T50" i="8" s="1"/>
  <c r="AJ48" i="8"/>
  <c r="AJ50" i="8" s="1"/>
  <c r="U48" i="8"/>
  <c r="U50" i="8" s="1"/>
  <c r="AI49" i="10" l="1"/>
  <c r="AI51" i="10" s="1"/>
  <c r="X49" i="10"/>
  <c r="X51" i="10" s="1"/>
  <c r="U49" i="10"/>
  <c r="U51" i="10" s="1"/>
  <c r="P49" i="10"/>
  <c r="P51" i="10" s="1"/>
  <c r="AM49" i="10"/>
  <c r="AM51" i="10" s="1"/>
  <c r="AP49" i="10"/>
  <c r="AP51" i="10" s="1"/>
  <c r="AJ49" i="10"/>
  <c r="AJ51" i="10" s="1"/>
  <c r="AB49" i="10"/>
  <c r="AB51" i="10" s="1"/>
  <c r="W49" i="10"/>
  <c r="W51" i="10" s="1"/>
  <c r="N49" i="10"/>
  <c r="N51" i="10" s="1"/>
  <c r="O49" i="10"/>
  <c r="O51" i="10" s="1"/>
  <c r="AG49" i="10"/>
  <c r="AG51" i="10" s="1"/>
  <c r="Y49" i="10"/>
  <c r="Y51" i="10" s="1"/>
  <c r="AD49" i="10"/>
  <c r="AD51" i="10" s="1"/>
  <c r="S49" i="10"/>
  <c r="S51" i="10" s="1"/>
  <c r="Q49" i="10"/>
  <c r="Q51" i="10" s="1"/>
  <c r="AC49" i="10"/>
  <c r="AC51" i="10" s="1"/>
  <c r="AE49" i="10"/>
  <c r="AE51" i="10" s="1"/>
  <c r="R49" i="10"/>
  <c r="R51" i="10" s="1"/>
  <c r="AK49" i="10"/>
  <c r="AK51" i="10" s="1"/>
  <c r="AN49" i="10"/>
  <c r="AN51" i="10" s="1"/>
  <c r="V49" i="10"/>
  <c r="V51" i="10" s="1"/>
  <c r="T49" i="10"/>
  <c r="T51" i="10" s="1"/>
  <c r="Z49" i="10"/>
  <c r="Z51" i="10" s="1"/>
  <c r="AF49" i="10"/>
  <c r="AF51" i="10" s="1"/>
  <c r="AH49" i="10"/>
  <c r="AH51" i="10" s="1"/>
  <c r="AA49" i="10"/>
  <c r="AA51" i="10" s="1"/>
  <c r="AO49" i="10"/>
  <c r="AO51" i="10" s="1"/>
  <c r="H10" i="10"/>
  <c r="AL49" i="10"/>
  <c r="AL51" i="10" s="1"/>
  <c r="H9" i="9"/>
  <c r="H9" i="8"/>
  <c r="H9" i="10" l="1"/>
  <c r="C21" i="4"/>
  <c r="M37" i="4" l="1"/>
  <c r="N37" i="4"/>
  <c r="O37" i="4"/>
  <c r="P37" i="4"/>
  <c r="Q37" i="4"/>
  <c r="R37" i="4"/>
  <c r="S37" i="4"/>
  <c r="T37" i="4"/>
  <c r="U37" i="4"/>
  <c r="V37" i="4"/>
  <c r="W37" i="4"/>
  <c r="X37" i="4"/>
  <c r="Y37" i="4"/>
  <c r="Z37" i="4"/>
  <c r="AA37" i="4"/>
  <c r="AB37" i="4"/>
  <c r="AC37" i="4"/>
  <c r="AD37" i="4"/>
  <c r="AE37" i="4"/>
  <c r="AG37" i="4"/>
  <c r="AH37" i="4"/>
  <c r="AI37" i="4"/>
  <c r="AJ37" i="4"/>
  <c r="AK37" i="4"/>
  <c r="AL37" i="4"/>
  <c r="AM37" i="4"/>
  <c r="AN37" i="4"/>
  <c r="AO37" i="4"/>
  <c r="AP37" i="4"/>
  <c r="AF37"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M34" i="4"/>
  <c r="C11" i="4" l="1"/>
  <c r="C24" i="4" l="1"/>
  <c r="AN25" i="4" s="1"/>
  <c r="X28" i="4"/>
  <c r="Y28" i="4"/>
  <c r="Z28" i="4"/>
  <c r="AA28" i="4"/>
  <c r="AB28" i="4"/>
  <c r="AC28" i="4"/>
  <c r="AD28" i="4"/>
  <c r="AE28" i="4"/>
  <c r="AF28" i="4"/>
  <c r="AG28" i="4"/>
  <c r="AH28" i="4"/>
  <c r="AI28" i="4"/>
  <c r="AJ28" i="4"/>
  <c r="AK28" i="4"/>
  <c r="AL28" i="4"/>
  <c r="AM28" i="4"/>
  <c r="AN28" i="4"/>
  <c r="AO28" i="4"/>
  <c r="AP28" i="4"/>
  <c r="N28" i="4"/>
  <c r="O28" i="4"/>
  <c r="P28" i="4"/>
  <c r="Q28" i="4"/>
  <c r="R28" i="4"/>
  <c r="S28" i="4"/>
  <c r="T28" i="4"/>
  <c r="U28" i="4"/>
  <c r="V28" i="4"/>
  <c r="W28" i="4"/>
  <c r="M28" i="4"/>
  <c r="AA27"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M29" i="4"/>
  <c r="S27" i="4"/>
  <c r="T27" i="4"/>
  <c r="U27" i="4"/>
  <c r="V27" i="4"/>
  <c r="R27" i="4"/>
  <c r="N27" i="4"/>
  <c r="O27" i="4"/>
  <c r="P27" i="4"/>
  <c r="Q27" i="4"/>
  <c r="M27" i="4"/>
  <c r="Q25" i="4" l="1"/>
  <c r="AP25" i="4"/>
  <c r="AN27" i="4"/>
  <c r="AJ27" i="4"/>
  <c r="AF27" i="4"/>
  <c r="AB27" i="4"/>
  <c r="X27" i="4"/>
  <c r="AP27" i="4"/>
  <c r="AL27" i="4"/>
  <c r="AH27" i="4"/>
  <c r="AD27" i="4"/>
  <c r="Z27" i="4"/>
  <c r="AO27" i="4"/>
  <c r="AK27" i="4"/>
  <c r="AG27" i="4"/>
  <c r="AC27" i="4"/>
  <c r="Y27" i="4"/>
  <c r="W27" i="4"/>
  <c r="AM27" i="4"/>
  <c r="AI27" i="4"/>
  <c r="AE27" i="4"/>
  <c r="AJ25" i="4"/>
  <c r="AF25" i="4"/>
  <c r="AB25" i="4"/>
  <c r="X25" i="4"/>
  <c r="T25" i="4"/>
  <c r="P25" i="4"/>
  <c r="M25" i="4"/>
  <c r="AM25" i="4"/>
  <c r="AI25" i="4"/>
  <c r="AE25" i="4"/>
  <c r="AA25" i="4"/>
  <c r="W25" i="4"/>
  <c r="S25" i="4"/>
  <c r="O25" i="4"/>
  <c r="N25" i="4"/>
  <c r="AL25" i="4"/>
  <c r="AH25" i="4"/>
  <c r="AD25" i="4"/>
  <c r="Z25" i="4"/>
  <c r="V25" i="4"/>
  <c r="R25" i="4"/>
  <c r="AO25" i="4"/>
  <c r="AK25" i="4"/>
  <c r="AG25" i="4"/>
  <c r="AC25" i="4"/>
  <c r="Y25" i="4"/>
  <c r="U25" i="4"/>
  <c r="C10" i="4" l="1"/>
  <c r="M26" i="4"/>
  <c r="AC26" i="4" l="1"/>
  <c r="Y26" i="4"/>
  <c r="AK26" i="4"/>
  <c r="U26" i="4"/>
  <c r="AO26" i="4"/>
  <c r="AG26" i="4"/>
  <c r="Q26" i="4"/>
  <c r="AN26" i="4"/>
  <c r="AJ26" i="4"/>
  <c r="AF26" i="4"/>
  <c r="AB26" i="4"/>
  <c r="X26" i="4"/>
  <c r="T26" i="4"/>
  <c r="P26" i="4"/>
  <c r="AM26" i="4"/>
  <c r="AI26" i="4"/>
  <c r="AE26" i="4"/>
  <c r="AA26" i="4"/>
  <c r="W26" i="4"/>
  <c r="S26" i="4"/>
  <c r="O26" i="4"/>
  <c r="AP26" i="4"/>
  <c r="AL26" i="4"/>
  <c r="AH26" i="4"/>
  <c r="AD26" i="4"/>
  <c r="Z26" i="4"/>
  <c r="V26" i="4"/>
  <c r="R26" i="4"/>
  <c r="N26" i="4"/>
  <c r="O8" i="4" l="1"/>
  <c r="O30" i="4" s="1"/>
  <c r="L14" i="4"/>
  <c r="L13" i="4"/>
  <c r="AG46" i="4"/>
  <c r="AH46" i="4"/>
  <c r="AI46" i="4"/>
  <c r="AJ46" i="4"/>
  <c r="AK46" i="4"/>
  <c r="AL46" i="4"/>
  <c r="AM46" i="4"/>
  <c r="AN46" i="4"/>
  <c r="AO46" i="4"/>
  <c r="AP46" i="4"/>
  <c r="AG35" i="4"/>
  <c r="AH35" i="4"/>
  <c r="AI35" i="4"/>
  <c r="AJ35" i="4"/>
  <c r="AK35" i="4"/>
  <c r="AL35" i="4"/>
  <c r="AM35" i="4"/>
  <c r="AN35" i="4"/>
  <c r="AO35" i="4"/>
  <c r="AP35" i="4"/>
  <c r="L15" i="4" l="1"/>
  <c r="M8" i="4"/>
  <c r="AM8" i="4"/>
  <c r="AM30" i="4" s="1"/>
  <c r="L12" i="4"/>
  <c r="AP8" i="4"/>
  <c r="AP30" i="4" s="1"/>
  <c r="AL8" i="4"/>
  <c r="AL30" i="4" s="1"/>
  <c r="AH8" i="4"/>
  <c r="AH30" i="4" s="1"/>
  <c r="AD8" i="4"/>
  <c r="AD30" i="4" s="1"/>
  <c r="Z8" i="4"/>
  <c r="Z30" i="4" s="1"/>
  <c r="V8" i="4"/>
  <c r="V30" i="4" s="1"/>
  <c r="R8" i="4"/>
  <c r="R30" i="4" s="1"/>
  <c r="N8" i="4"/>
  <c r="N30" i="4" s="1"/>
  <c r="AO8" i="4"/>
  <c r="AO30" i="4" s="1"/>
  <c r="AK8" i="4"/>
  <c r="AK30" i="4" s="1"/>
  <c r="AG8" i="4"/>
  <c r="AG30" i="4" s="1"/>
  <c r="AC8" i="4"/>
  <c r="AC30" i="4" s="1"/>
  <c r="Y8" i="4"/>
  <c r="Y30" i="4" s="1"/>
  <c r="U8" i="4"/>
  <c r="U30" i="4" s="1"/>
  <c r="Q8" i="4"/>
  <c r="Q30" i="4" s="1"/>
  <c r="AN8" i="4"/>
  <c r="AN30" i="4" s="1"/>
  <c r="AJ8" i="4"/>
  <c r="AJ30" i="4" s="1"/>
  <c r="AF8" i="4"/>
  <c r="AF30" i="4" s="1"/>
  <c r="AB8" i="4"/>
  <c r="AB30" i="4" s="1"/>
  <c r="X8" i="4"/>
  <c r="X30" i="4" s="1"/>
  <c r="T8" i="4"/>
  <c r="T30" i="4" s="1"/>
  <c r="P8" i="4"/>
  <c r="P30" i="4" s="1"/>
  <c r="AI8" i="4"/>
  <c r="AI30" i="4" s="1"/>
  <c r="AE8" i="4"/>
  <c r="AE30" i="4" s="1"/>
  <c r="AA8" i="4"/>
  <c r="AA30" i="4" s="1"/>
  <c r="W8" i="4"/>
  <c r="W30" i="4" s="1"/>
  <c r="S8" i="4"/>
  <c r="S30" i="4" s="1"/>
  <c r="M30" i="4" l="1"/>
  <c r="C50" i="4"/>
  <c r="AG9" i="4" l="1"/>
  <c r="AH10" i="4"/>
  <c r="AI9" i="4"/>
  <c r="AJ9" i="4"/>
  <c r="AK9" i="4"/>
  <c r="AM9" i="4"/>
  <c r="AN9" i="4"/>
  <c r="AO9" i="4"/>
  <c r="AG16" i="4"/>
  <c r="AG21" i="4" s="1"/>
  <c r="AH16" i="4"/>
  <c r="AH21" i="4" s="1"/>
  <c r="AI16" i="4"/>
  <c r="AI21" i="4" s="1"/>
  <c r="AJ16" i="4"/>
  <c r="AJ21" i="4" s="1"/>
  <c r="AK16" i="4"/>
  <c r="AK21" i="4" s="1"/>
  <c r="AL16" i="4"/>
  <c r="AL21" i="4" s="1"/>
  <c r="AM16" i="4"/>
  <c r="AM21" i="4" s="1"/>
  <c r="AN16" i="4"/>
  <c r="AN21" i="4" s="1"/>
  <c r="AO16" i="4"/>
  <c r="AO21" i="4" s="1"/>
  <c r="AP16" i="4"/>
  <c r="AP21" i="4" s="1"/>
  <c r="AG36" i="4"/>
  <c r="AH36" i="4"/>
  <c r="AI36" i="4"/>
  <c r="AJ36" i="4"/>
  <c r="AK36" i="4"/>
  <c r="AL36" i="4"/>
  <c r="AM36" i="4"/>
  <c r="AN36" i="4"/>
  <c r="AO36" i="4"/>
  <c r="AP36" i="4"/>
  <c r="AF36" i="4"/>
  <c r="AE36" i="4"/>
  <c r="AD36" i="4"/>
  <c r="AC36" i="4"/>
  <c r="AB36" i="4"/>
  <c r="AA36" i="4"/>
  <c r="Z36" i="4"/>
  <c r="Y36" i="4"/>
  <c r="X36" i="4"/>
  <c r="W36" i="4"/>
  <c r="V36" i="4"/>
  <c r="U36" i="4"/>
  <c r="T36" i="4"/>
  <c r="S36" i="4"/>
  <c r="R36" i="4"/>
  <c r="Q36" i="4"/>
  <c r="P36" i="4"/>
  <c r="O36" i="4"/>
  <c r="N36" i="4"/>
  <c r="M36" i="4"/>
  <c r="AF16" i="4"/>
  <c r="AF21" i="4" s="1"/>
  <c r="AE16" i="4"/>
  <c r="AE21" i="4" s="1"/>
  <c r="AD16" i="4"/>
  <c r="AD21" i="4" s="1"/>
  <c r="AC16" i="4"/>
  <c r="AC21" i="4" s="1"/>
  <c r="AB16" i="4"/>
  <c r="AB21" i="4" s="1"/>
  <c r="AA16" i="4"/>
  <c r="AA21" i="4" s="1"/>
  <c r="Z16" i="4"/>
  <c r="Z21" i="4" s="1"/>
  <c r="Y16" i="4"/>
  <c r="Y21" i="4" s="1"/>
  <c r="X16" i="4"/>
  <c r="X21" i="4" s="1"/>
  <c r="W16" i="4"/>
  <c r="W21" i="4" s="1"/>
  <c r="V16" i="4"/>
  <c r="V21" i="4" s="1"/>
  <c r="U16" i="4"/>
  <c r="U21" i="4" s="1"/>
  <c r="T16" i="4"/>
  <c r="T21" i="4" s="1"/>
  <c r="S16" i="4"/>
  <c r="S21" i="4" s="1"/>
  <c r="R16" i="4"/>
  <c r="R21" i="4" s="1"/>
  <c r="Q16" i="4"/>
  <c r="Q21" i="4" s="1"/>
  <c r="P16" i="4"/>
  <c r="P21" i="4" s="1"/>
  <c r="O16" i="4"/>
  <c r="O21" i="4" s="1"/>
  <c r="N16" i="4"/>
  <c r="N21" i="4" s="1"/>
  <c r="AF10" i="4"/>
  <c r="AB10" i="4"/>
  <c r="Z10" i="4"/>
  <c r="Y10" i="4"/>
  <c r="X10" i="4"/>
  <c r="T9" i="4"/>
  <c r="AD9" i="4" l="1"/>
  <c r="AJ10" i="4"/>
  <c r="AJ24" i="4" s="1"/>
  <c r="AJ31" i="4" s="1"/>
  <c r="AH9" i="4"/>
  <c r="AH24" i="4" s="1"/>
  <c r="AH31" i="4" s="1"/>
  <c r="Q10" i="4"/>
  <c r="Y9" i="4"/>
  <c r="Y24" i="4" s="1"/>
  <c r="Y31" i="4" s="1"/>
  <c r="AP9" i="4"/>
  <c r="AB9" i="4"/>
  <c r="AB24" i="4" s="1"/>
  <c r="AB31" i="4" s="1"/>
  <c r="N9" i="4"/>
  <c r="M9" i="4"/>
  <c r="AN10" i="4"/>
  <c r="AN24" i="4" s="1"/>
  <c r="AN31" i="4" s="1"/>
  <c r="X9" i="4"/>
  <c r="X24" i="4" s="1"/>
  <c r="X31" i="4" s="1"/>
  <c r="AD10" i="4"/>
  <c r="N10" i="4"/>
  <c r="AP10" i="4"/>
  <c r="AL10" i="4"/>
  <c r="AL9" i="4"/>
  <c r="R9" i="4"/>
  <c r="AM10" i="4"/>
  <c r="AM24" i="4" s="1"/>
  <c r="AM31" i="4" s="1"/>
  <c r="AI10" i="4"/>
  <c r="AI24" i="4" s="1"/>
  <c r="AI31" i="4" s="1"/>
  <c r="V9" i="4"/>
  <c r="R10" i="4"/>
  <c r="AF9" i="4"/>
  <c r="AF24" i="4" s="1"/>
  <c r="AF31" i="4" s="1"/>
  <c r="Z9" i="4"/>
  <c r="Z24" i="4" s="1"/>
  <c r="Z31" i="4" s="1"/>
  <c r="V10" i="4"/>
  <c r="P9" i="4"/>
  <c r="AO10" i="4"/>
  <c r="AO24" i="4" s="1"/>
  <c r="AO31" i="4" s="1"/>
  <c r="AK10" i="4"/>
  <c r="AK24" i="4" s="1"/>
  <c r="AK31" i="4" s="1"/>
  <c r="AG10" i="4"/>
  <c r="AG24" i="4" s="1"/>
  <c r="AG31" i="4" s="1"/>
  <c r="AA10" i="4"/>
  <c r="T10" i="4"/>
  <c r="T24" i="4" s="1"/>
  <c r="T31" i="4" s="1"/>
  <c r="P10" i="4"/>
  <c r="S10" i="4"/>
  <c r="O9" i="4"/>
  <c r="AA9" i="4"/>
  <c r="AC10" i="4"/>
  <c r="U10" i="4"/>
  <c r="M10" i="4"/>
  <c r="AC9" i="4"/>
  <c r="U9" i="4"/>
  <c r="AE10" i="4"/>
  <c r="W10" i="4"/>
  <c r="AE9" i="4"/>
  <c r="W9" i="4"/>
  <c r="Q9" i="4"/>
  <c r="O10" i="4"/>
  <c r="S9" i="4"/>
  <c r="M24" i="4" l="1"/>
  <c r="M31" i="4" s="1"/>
  <c r="AD24" i="4"/>
  <c r="AD31" i="4" s="1"/>
  <c r="Q24" i="4"/>
  <c r="Q31" i="4" s="1"/>
  <c r="AA24" i="4"/>
  <c r="AA31" i="4" s="1"/>
  <c r="AP24" i="4"/>
  <c r="AP31" i="4" s="1"/>
  <c r="V24" i="4"/>
  <c r="V31" i="4" s="1"/>
  <c r="N24" i="4"/>
  <c r="N31" i="4" s="1"/>
  <c r="R24" i="4"/>
  <c r="R31" i="4" s="1"/>
  <c r="P24" i="4"/>
  <c r="P31" i="4" s="1"/>
  <c r="S24" i="4"/>
  <c r="S31" i="4" s="1"/>
  <c r="AL24" i="4"/>
  <c r="AL31" i="4" s="1"/>
  <c r="W24" i="4"/>
  <c r="W31" i="4" s="1"/>
  <c r="O24" i="4"/>
  <c r="O31" i="4" s="1"/>
  <c r="AE24" i="4"/>
  <c r="AE31" i="4" s="1"/>
  <c r="AC24" i="4"/>
  <c r="AC31" i="4" s="1"/>
  <c r="U24" i="4"/>
  <c r="U31" i="4" s="1"/>
  <c r="L16" i="4" l="1"/>
  <c r="M15" i="4"/>
  <c r="M16" i="4" s="1"/>
  <c r="M21" i="4" s="1"/>
  <c r="T38" i="4" l="1"/>
  <c r="T45" i="4" s="1"/>
  <c r="AH38" i="4"/>
  <c r="AH39" i="4" s="1"/>
  <c r="AJ38" i="4"/>
  <c r="AJ39" i="4" s="1"/>
  <c r="AL38" i="4"/>
  <c r="AL39" i="4" s="1"/>
  <c r="AN38" i="4"/>
  <c r="AN39" i="4" s="1"/>
  <c r="AP38" i="4"/>
  <c r="AP39" i="4" s="1"/>
  <c r="AG38" i="4"/>
  <c r="AG39" i="4" s="1"/>
  <c r="AI38" i="4"/>
  <c r="AI39" i="4" s="1"/>
  <c r="AK38" i="4"/>
  <c r="AK39" i="4" s="1"/>
  <c r="AM38" i="4"/>
  <c r="AM39" i="4" s="1"/>
  <c r="AO38" i="4"/>
  <c r="AO39" i="4" s="1"/>
  <c r="L20" i="4"/>
  <c r="L19" i="4"/>
  <c r="V38" i="4"/>
  <c r="M38" i="4"/>
  <c r="N38" i="4"/>
  <c r="AA38" i="4"/>
  <c r="AE38" i="4"/>
  <c r="AD38" i="4"/>
  <c r="AC38" i="4"/>
  <c r="R38" i="4"/>
  <c r="U38" i="4"/>
  <c r="S38" i="4"/>
  <c r="Y38" i="4"/>
  <c r="AF38" i="4"/>
  <c r="X38" i="4"/>
  <c r="O38" i="4"/>
  <c r="W38" i="4"/>
  <c r="P38" i="4"/>
  <c r="Z38" i="4"/>
  <c r="Q38" i="4"/>
  <c r="AB38" i="4"/>
  <c r="AF46" i="4" l="1"/>
  <c r="AC46" i="4"/>
  <c r="AD35" i="4"/>
  <c r="AD46" i="4"/>
  <c r="AE35" i="4"/>
  <c r="AE39" i="4" s="1"/>
  <c r="AE46" i="4"/>
  <c r="AB35" i="4"/>
  <c r="AB39" i="4" s="1"/>
  <c r="AF35" i="4"/>
  <c r="AF39" i="4" s="1"/>
  <c r="AB46" i="4"/>
  <c r="AC35" i="4"/>
  <c r="AC39" i="4" s="1"/>
  <c r="N46" i="4"/>
  <c r="R46" i="4"/>
  <c r="V46" i="4"/>
  <c r="Z46" i="4"/>
  <c r="O46" i="4"/>
  <c r="S46" i="4"/>
  <c r="W46" i="4"/>
  <c r="AA46" i="4"/>
  <c r="M46" i="4"/>
  <c r="P46" i="4"/>
  <c r="T46" i="4"/>
  <c r="X46" i="4"/>
  <c r="Q46" i="4"/>
  <c r="U46" i="4"/>
  <c r="Y46" i="4"/>
  <c r="W35" i="4"/>
  <c r="W39" i="4" s="1"/>
  <c r="AA35" i="4"/>
  <c r="AA39" i="4" s="1"/>
  <c r="X35" i="4"/>
  <c r="X39" i="4" s="1"/>
  <c r="Y35" i="4"/>
  <c r="Y39" i="4" s="1"/>
  <c r="Z35" i="4"/>
  <c r="Z39" i="4" s="1"/>
  <c r="N35" i="4"/>
  <c r="N39" i="4" s="1"/>
  <c r="O35" i="4"/>
  <c r="O39" i="4" s="1"/>
  <c r="S35" i="4"/>
  <c r="S39" i="4" s="1"/>
  <c r="M35" i="4"/>
  <c r="M39" i="4" s="1"/>
  <c r="P35" i="4"/>
  <c r="P39" i="4" s="1"/>
  <c r="T35" i="4"/>
  <c r="T39" i="4" s="1"/>
  <c r="Q35" i="4"/>
  <c r="Q39" i="4" s="1"/>
  <c r="U35" i="4"/>
  <c r="U39" i="4" s="1"/>
  <c r="R35" i="4"/>
  <c r="R39" i="4" s="1"/>
  <c r="V35" i="4"/>
  <c r="V39" i="4" s="1"/>
  <c r="AO45" i="4"/>
  <c r="AO41" i="4"/>
  <c r="AK45" i="4"/>
  <c r="AK41" i="4"/>
  <c r="AG45" i="4"/>
  <c r="AG41" i="4"/>
  <c r="AN45" i="4"/>
  <c r="AN41" i="4"/>
  <c r="AJ45" i="4"/>
  <c r="AJ41" i="4"/>
  <c r="AM45" i="4"/>
  <c r="AM41" i="4"/>
  <c r="AI45" i="4"/>
  <c r="AI41" i="4"/>
  <c r="AP45" i="4"/>
  <c r="AP41" i="4"/>
  <c r="AL45" i="4"/>
  <c r="AL41" i="4"/>
  <c r="AH45" i="4"/>
  <c r="AH41" i="4"/>
  <c r="Q45" i="4"/>
  <c r="O45" i="4"/>
  <c r="AF45" i="4"/>
  <c r="S45" i="4"/>
  <c r="R45" i="4"/>
  <c r="AC45" i="4"/>
  <c r="AE45" i="4"/>
  <c r="N45" i="4"/>
  <c r="V45" i="4"/>
  <c r="P45" i="4"/>
  <c r="AB45" i="4"/>
  <c r="Z45" i="4"/>
  <c r="W45" i="4"/>
  <c r="X45" i="4"/>
  <c r="Y45" i="4"/>
  <c r="U45" i="4"/>
  <c r="AD45" i="4"/>
  <c r="AA45" i="4"/>
  <c r="M45" i="4"/>
  <c r="AD39" i="4" l="1"/>
  <c r="AD41" i="4" s="1"/>
  <c r="N41" i="4"/>
  <c r="V41" i="4"/>
  <c r="V42" i="4" s="1"/>
  <c r="V43" i="4" s="1"/>
  <c r="V47" i="4" s="1"/>
  <c r="Z41" i="4"/>
  <c r="Z42" i="4" s="1"/>
  <c r="Z43" i="4" s="1"/>
  <c r="Z47" i="4" s="1"/>
  <c r="R41" i="4"/>
  <c r="R42" i="4" s="1"/>
  <c r="R43" i="4" s="1"/>
  <c r="R47" i="4" s="1"/>
  <c r="T41" i="4"/>
  <c r="T42" i="4" s="1"/>
  <c r="T43" i="4" s="1"/>
  <c r="T47" i="4" s="1"/>
  <c r="AF41" i="4"/>
  <c r="AB41" i="4"/>
  <c r="AB42" i="4" s="1"/>
  <c r="AB43" i="4" s="1"/>
  <c r="AB47" i="4" s="1"/>
  <c r="X41" i="4"/>
  <c r="X42" i="4" s="1"/>
  <c r="X43" i="4" s="1"/>
  <c r="X47" i="4" s="1"/>
  <c r="P41" i="4"/>
  <c r="P42" i="4" s="1"/>
  <c r="P43" i="4" s="1"/>
  <c r="P47" i="4" s="1"/>
  <c r="AH42" i="4"/>
  <c r="AH43" i="4" s="1"/>
  <c r="AH47" i="4" s="1"/>
  <c r="AL42" i="4"/>
  <c r="AL43" i="4" s="1"/>
  <c r="AL47" i="4" s="1"/>
  <c r="AP42" i="4"/>
  <c r="AP43" i="4" s="1"/>
  <c r="AP47" i="4" s="1"/>
  <c r="AI42" i="4"/>
  <c r="AI43" i="4" s="1"/>
  <c r="AI47" i="4" s="1"/>
  <c r="AM42" i="4"/>
  <c r="AM43" i="4" s="1"/>
  <c r="AM47" i="4" s="1"/>
  <c r="AJ42" i="4"/>
  <c r="AJ43" i="4" s="1"/>
  <c r="AJ47" i="4" s="1"/>
  <c r="AN42" i="4"/>
  <c r="AN43" i="4" s="1"/>
  <c r="AN47" i="4" s="1"/>
  <c r="AG42" i="4"/>
  <c r="AG43" i="4" s="1"/>
  <c r="AG47" i="4" s="1"/>
  <c r="AK42" i="4"/>
  <c r="AK43" i="4" s="1"/>
  <c r="AK47" i="4" s="1"/>
  <c r="AO42" i="4"/>
  <c r="AO43" i="4" s="1"/>
  <c r="AO47" i="4" s="1"/>
  <c r="O41" i="4"/>
  <c r="O42" i="4" s="1"/>
  <c r="O43" i="4" s="1"/>
  <c r="O47" i="4" s="1"/>
  <c r="AA41" i="4"/>
  <c r="AA42" i="4" s="1"/>
  <c r="AA43" i="4" s="1"/>
  <c r="AA47" i="4" s="1"/>
  <c r="AC41" i="4"/>
  <c r="AC42" i="4" s="1"/>
  <c r="AC43" i="4" s="1"/>
  <c r="AC47" i="4" s="1"/>
  <c r="Y41" i="4"/>
  <c r="Y42" i="4" s="1"/>
  <c r="Y43" i="4" s="1"/>
  <c r="Y47" i="4" s="1"/>
  <c r="U41" i="4"/>
  <c r="U42" i="4" s="1"/>
  <c r="U43" i="4" s="1"/>
  <c r="U47" i="4" s="1"/>
  <c r="Q41" i="4"/>
  <c r="Q42" i="4" s="1"/>
  <c r="Q43" i="4" s="1"/>
  <c r="Q47" i="4" s="1"/>
  <c r="AE41" i="4"/>
  <c r="AE42" i="4" s="1"/>
  <c r="AE43" i="4" s="1"/>
  <c r="AE47" i="4" s="1"/>
  <c r="W41" i="4"/>
  <c r="W42" i="4" s="1"/>
  <c r="W43" i="4" s="1"/>
  <c r="W47" i="4" s="1"/>
  <c r="S41" i="4"/>
  <c r="S42" i="4" s="1"/>
  <c r="S43" i="4" s="1"/>
  <c r="S47" i="4" s="1"/>
  <c r="N42" i="4"/>
  <c r="AF42" i="4"/>
  <c r="AD42" i="4"/>
  <c r="AD43" i="4" l="1"/>
  <c r="AD47" i="4" s="1"/>
  <c r="N43" i="4"/>
  <c r="N47" i="4" s="1"/>
  <c r="AF43" i="4"/>
  <c r="AF47" i="4" s="1"/>
  <c r="L21" i="4"/>
  <c r="L47" i="4" s="1"/>
  <c r="L48" i="4" l="1"/>
  <c r="M41" i="4" l="1"/>
  <c r="M42" i="4" l="1"/>
  <c r="M43" i="4" s="1"/>
  <c r="M47" i="4" s="1"/>
  <c r="H10" i="4" s="1"/>
  <c r="H8" i="4" l="1"/>
  <c r="H11" i="4"/>
  <c r="AO48" i="4"/>
  <c r="AO50" i="4" s="1"/>
  <c r="AI48" i="4"/>
  <c r="AI50" i="4" s="1"/>
  <c r="AC48" i="4"/>
  <c r="AC50" i="4" s="1"/>
  <c r="W48" i="4"/>
  <c r="W50" i="4" s="1"/>
  <c r="AH48" i="4"/>
  <c r="AH50" i="4" s="1"/>
  <c r="AP48" i="4"/>
  <c r="AP50" i="4" s="1"/>
  <c r="X48" i="4"/>
  <c r="X50" i="4" s="1"/>
  <c r="R48" i="4"/>
  <c r="R50" i="4" s="1"/>
  <c r="S48" i="4"/>
  <c r="S50" i="4" s="1"/>
  <c r="Y48" i="4"/>
  <c r="Y50" i="4" s="1"/>
  <c r="AK48" i="4"/>
  <c r="AK50" i="4" s="1"/>
  <c r="AL48" i="4"/>
  <c r="AL50" i="4" s="1"/>
  <c r="AD48" i="4"/>
  <c r="AD50" i="4" s="1"/>
  <c r="T48" i="4"/>
  <c r="T50" i="4" s="1"/>
  <c r="AN48" i="4"/>
  <c r="AN50" i="4" s="1"/>
  <c r="O48" i="4"/>
  <c r="O50" i="4" s="1"/>
  <c r="N48" i="4"/>
  <c r="N50" i="4" s="1"/>
  <c r="AB48" i="4"/>
  <c r="AB50" i="4" s="1"/>
  <c r="AG48" i="4"/>
  <c r="AG50" i="4" s="1"/>
  <c r="AE48" i="4"/>
  <c r="AE50" i="4" s="1"/>
  <c r="Q48" i="4"/>
  <c r="Q50" i="4" s="1"/>
  <c r="V48" i="4"/>
  <c r="V50" i="4" s="1"/>
  <c r="AF48" i="4"/>
  <c r="AF50" i="4" s="1"/>
  <c r="AA48" i="4"/>
  <c r="AA50" i="4" s="1"/>
  <c r="AJ48" i="4"/>
  <c r="AJ50" i="4" s="1"/>
  <c r="U48" i="4"/>
  <c r="U50" i="4" s="1"/>
  <c r="Z48" i="4"/>
  <c r="Z50" i="4" s="1"/>
  <c r="P48" i="4"/>
  <c r="P50" i="4" s="1"/>
  <c r="AM48" i="4"/>
  <c r="AM50" i="4" s="1"/>
  <c r="M48" i="4"/>
  <c r="M50" i="4" s="1"/>
  <c r="H9" i="4" l="1"/>
</calcChain>
</file>

<file path=xl/comments1.xml><?xml version="1.0" encoding="utf-8"?>
<comments xmlns="http://schemas.openxmlformats.org/spreadsheetml/2006/main">
  <authors>
    <author>Steve Wiese</author>
  </authors>
  <commentList>
    <comment ref="C11" authorId="0">
      <text>
        <r>
          <rPr>
            <b/>
            <sz val="9"/>
            <color indexed="81"/>
            <rFont val="Tahoma"/>
            <family val="2"/>
          </rPr>
          <t>Steve Wiese:</t>
        </r>
        <r>
          <rPr>
            <sz val="9"/>
            <color indexed="81"/>
            <rFont val="Tahoma"/>
            <family val="2"/>
          </rPr>
          <t xml:space="preserve">
Example comment.</t>
        </r>
      </text>
    </comment>
    <comment ref="D11" authorId="0">
      <text>
        <r>
          <rPr>
            <b/>
            <sz val="9"/>
            <color indexed="81"/>
            <rFont val="Tahoma"/>
            <family val="2"/>
          </rPr>
          <t>Steve Wiese:</t>
        </r>
        <r>
          <rPr>
            <sz val="9"/>
            <color indexed="81"/>
            <rFont val="Tahoma"/>
            <family val="2"/>
          </rPr>
          <t xml:space="preserve">
Example comment.</t>
        </r>
      </text>
    </comment>
  </commentList>
</comments>
</file>

<file path=xl/comments2.xml><?xml version="1.0" encoding="utf-8"?>
<comments xmlns="http://schemas.openxmlformats.org/spreadsheetml/2006/main">
  <authors>
    <author>Steve Wiese</author>
  </authors>
  <commentList>
    <comment ref="D7" authorId="0">
      <text>
        <r>
          <rPr>
            <b/>
            <sz val="9"/>
            <color indexed="81"/>
            <rFont val="Tahoma"/>
            <family val="2"/>
          </rPr>
          <t>Steve Wiese:</t>
        </r>
        <r>
          <rPr>
            <sz val="9"/>
            <color indexed="81"/>
            <rFont val="Tahoma"/>
            <family val="2"/>
          </rPr>
          <t xml:space="preserve">
Tesla PowerWall comes in 6.6 kW units.</t>
        </r>
      </text>
    </comment>
    <comment ref="D8" authorId="0">
      <text>
        <r>
          <rPr>
            <b/>
            <sz val="9"/>
            <color indexed="81"/>
            <rFont val="Tahoma"/>
            <family val="2"/>
          </rPr>
          <t>Steve Wiese:</t>
        </r>
        <r>
          <rPr>
            <sz val="9"/>
            <color indexed="81"/>
            <rFont val="Tahoma"/>
            <family val="2"/>
          </rPr>
          <t xml:space="preserve">
Tesla PowerWall energy capacity is 6.4 kWh per unit.</t>
        </r>
      </text>
    </comment>
    <comment ref="D10" authorId="0">
      <text>
        <r>
          <rPr>
            <b/>
            <sz val="9"/>
            <color indexed="81"/>
            <rFont val="Tahoma"/>
            <family val="2"/>
          </rPr>
          <t>Steve Wiese:</t>
        </r>
        <r>
          <rPr>
            <sz val="9"/>
            <color indexed="81"/>
            <rFont val="Tahoma"/>
            <family val="2"/>
          </rPr>
          <t xml:space="preserve">
Tesla Powerwall price is $6500 per unit.</t>
        </r>
      </text>
    </comment>
    <comment ref="D21" authorId="0">
      <text>
        <r>
          <rPr>
            <b/>
            <sz val="9"/>
            <color indexed="81"/>
            <rFont val="Tahoma"/>
            <family val="2"/>
          </rPr>
          <t>Steve Wiese:</t>
        </r>
        <r>
          <rPr>
            <sz val="9"/>
            <color indexed="81"/>
            <rFont val="Tahoma"/>
            <family val="2"/>
          </rPr>
          <t xml:space="preserve">
NREL's PVWatts tool is found at http://pvwatts.nrel.gov/. This value can be entered directly, or picked up from a series of monthly values in rows 55-67 below.</t>
        </r>
      </text>
    </comment>
    <comment ref="D22" authorId="0">
      <text>
        <r>
          <rPr>
            <b/>
            <sz val="9"/>
            <color indexed="81"/>
            <rFont val="Tahoma"/>
            <family val="2"/>
          </rPr>
          <t>Steve Wiese:</t>
        </r>
        <r>
          <rPr>
            <sz val="9"/>
            <color indexed="81"/>
            <rFont val="Tahoma"/>
            <family val="2"/>
          </rPr>
          <t xml:space="preserve">
0.5% is commonly used industry average; some modules may degrade more or less quickly.</t>
        </r>
      </text>
    </comment>
    <comment ref="D23" authorId="0">
      <text>
        <r>
          <rPr>
            <b/>
            <sz val="9"/>
            <color indexed="81"/>
            <rFont val="Tahoma"/>
            <family val="2"/>
          </rPr>
          <t>Steve Wiese:</t>
        </r>
        <r>
          <rPr>
            <sz val="9"/>
            <color indexed="81"/>
            <rFont val="Tahoma"/>
            <family val="2"/>
          </rPr>
          <t xml:space="preserve">
An estimate of how much of the solar energy produced will outflow to the grid, versus be consumed on site. This only matters when there is a difference in value between offset of inflow energy from the grid and outflowed energy to the grid.</t>
        </r>
      </text>
    </comment>
    <comment ref="D24" authorId="0">
      <text>
        <r>
          <rPr>
            <b/>
            <sz val="9"/>
            <color indexed="81"/>
            <rFont val="Tahoma"/>
            <family val="2"/>
          </rPr>
          <t>Steve Wiese:</t>
        </r>
        <r>
          <rPr>
            <sz val="9"/>
            <color indexed="81"/>
            <rFont val="Tahoma"/>
            <family val="2"/>
          </rPr>
          <t xml:space="preserve">
By what percent will the addition of the PV system reduce annual demand charges? A reasonable approximation of this value may be made using building models and PV production models (such as PVWatts), or using high quality building energy consumption data. In either case, there will be uncertainty in the result, and modeling the system over a range of values is advised.</t>
        </r>
      </text>
    </comment>
    <comment ref="D25" authorId="0">
      <text>
        <r>
          <rPr>
            <b/>
            <sz val="9"/>
            <color indexed="81"/>
            <rFont val="Tahoma"/>
            <family val="2"/>
          </rPr>
          <t>Steve Wiese:</t>
        </r>
        <r>
          <rPr>
            <sz val="9"/>
            <color indexed="81"/>
            <rFont val="Tahoma"/>
            <family val="2"/>
          </rPr>
          <t xml:space="preserve">
This includes the sum, per kWh, of all electric bill items that are billed on a per kWh basis.</t>
        </r>
      </text>
    </comment>
    <comment ref="D29" authorId="0">
      <text>
        <r>
          <rPr>
            <b/>
            <sz val="9"/>
            <color indexed="81"/>
            <rFont val="Tahoma"/>
            <family val="2"/>
          </rPr>
          <t>Steve Wiese:</t>
        </r>
        <r>
          <rPr>
            <sz val="9"/>
            <color indexed="81"/>
            <rFont val="Tahoma"/>
            <family val="2"/>
          </rPr>
          <t xml:space="preserve">
Used only for systems integrating storage that is cycled daily for customers on a time of use rate.</t>
        </r>
      </text>
    </comment>
    <comment ref="D30" authorId="0">
      <text>
        <r>
          <rPr>
            <b/>
            <sz val="9"/>
            <color indexed="81"/>
            <rFont val="Tahoma"/>
            <family val="2"/>
          </rPr>
          <t>Steve Wiese:</t>
        </r>
        <r>
          <rPr>
            <sz val="9"/>
            <color indexed="81"/>
            <rFont val="Tahoma"/>
            <family val="2"/>
          </rPr>
          <t xml:space="preserve">
1.5% is the average annual increase in commercial retail electric rates in Texas from 1990-2016.</t>
        </r>
      </text>
    </comment>
    <comment ref="D33" authorId="0">
      <text>
        <r>
          <rPr>
            <b/>
            <sz val="9"/>
            <color indexed="81"/>
            <rFont val="Tahoma"/>
            <family val="2"/>
          </rPr>
          <t>Steve Wiese:</t>
        </r>
        <r>
          <rPr>
            <sz val="9"/>
            <color indexed="81"/>
            <rFont val="Tahoma"/>
            <family val="2"/>
          </rPr>
          <t xml:space="preserve">
Solar covered parking structures typically have a density of 2.5-4 kWdc per parking space.</t>
        </r>
      </text>
    </comment>
    <comment ref="D39" authorId="0">
      <text>
        <r>
          <rPr>
            <b/>
            <sz val="9"/>
            <color indexed="81"/>
            <rFont val="Tahoma"/>
            <family val="2"/>
          </rPr>
          <t>Steve Wiese:</t>
        </r>
        <r>
          <rPr>
            <sz val="9"/>
            <color indexed="81"/>
            <rFont val="Tahoma"/>
            <family val="2"/>
          </rPr>
          <t xml:space="preserve">
For storage systems only. Leave as $0 if value is not realized by customer.</t>
        </r>
      </text>
    </comment>
  </commentList>
</comments>
</file>

<file path=xl/comments3.xml><?xml version="1.0" encoding="utf-8"?>
<comments xmlns="http://schemas.openxmlformats.org/spreadsheetml/2006/main">
  <authors>
    <author>Steve Wiese</author>
  </authors>
  <commentList>
    <comment ref="D7" authorId="0">
      <text>
        <r>
          <rPr>
            <b/>
            <sz val="9"/>
            <color indexed="81"/>
            <rFont val="Tahoma"/>
            <family val="2"/>
          </rPr>
          <t>Steve Wiese:</t>
        </r>
        <r>
          <rPr>
            <sz val="9"/>
            <color indexed="81"/>
            <rFont val="Tahoma"/>
            <family val="2"/>
          </rPr>
          <t xml:space="preserve">
Tesla PowerWall comes in 6.6 kW units.</t>
        </r>
      </text>
    </comment>
    <comment ref="D8" authorId="0">
      <text>
        <r>
          <rPr>
            <b/>
            <sz val="9"/>
            <color indexed="81"/>
            <rFont val="Tahoma"/>
            <family val="2"/>
          </rPr>
          <t>Steve Wiese:</t>
        </r>
        <r>
          <rPr>
            <sz val="9"/>
            <color indexed="81"/>
            <rFont val="Tahoma"/>
            <family val="2"/>
          </rPr>
          <t xml:space="preserve">
Tesla PowerWall energy capacity is 6.4 kWh per unit.</t>
        </r>
      </text>
    </comment>
    <comment ref="D10" authorId="0">
      <text>
        <r>
          <rPr>
            <b/>
            <sz val="9"/>
            <color indexed="81"/>
            <rFont val="Tahoma"/>
            <family val="2"/>
          </rPr>
          <t>Steve Wiese:</t>
        </r>
        <r>
          <rPr>
            <sz val="9"/>
            <color indexed="81"/>
            <rFont val="Tahoma"/>
            <family val="2"/>
          </rPr>
          <t xml:space="preserve">
Tesla Powerwall price is $6500 per unit.</t>
        </r>
      </text>
    </comment>
    <comment ref="D25" authorId="0">
      <text>
        <r>
          <rPr>
            <b/>
            <sz val="9"/>
            <color indexed="81"/>
            <rFont val="Tahoma"/>
            <family val="2"/>
          </rPr>
          <t>Steve Wiese:</t>
        </r>
        <r>
          <rPr>
            <sz val="9"/>
            <color indexed="81"/>
            <rFont val="Tahoma"/>
            <family val="2"/>
          </rPr>
          <t xml:space="preserve">
NREL's PVWatts tool is found at http://pvwatts.nrel.gov/. This value can be entered directly, or picked up from a series of monthly values in rows 55-67 below.</t>
        </r>
      </text>
    </comment>
    <comment ref="D26" authorId="0">
      <text>
        <r>
          <rPr>
            <b/>
            <sz val="9"/>
            <color indexed="81"/>
            <rFont val="Tahoma"/>
            <family val="2"/>
          </rPr>
          <t>Steve Wiese:</t>
        </r>
        <r>
          <rPr>
            <sz val="9"/>
            <color indexed="81"/>
            <rFont val="Tahoma"/>
            <family val="2"/>
          </rPr>
          <t xml:space="preserve">
0.5% is commonly used industry average; some modules may degrade more or less quickly.</t>
        </r>
      </text>
    </comment>
    <comment ref="D27" authorId="0">
      <text>
        <r>
          <rPr>
            <b/>
            <sz val="9"/>
            <color indexed="81"/>
            <rFont val="Tahoma"/>
            <family val="2"/>
          </rPr>
          <t>Steve Wiese:</t>
        </r>
        <r>
          <rPr>
            <sz val="9"/>
            <color indexed="81"/>
            <rFont val="Tahoma"/>
            <family val="2"/>
          </rPr>
          <t xml:space="preserve">
An estimate of how much of the solar energy produced will outflow to the grid, versus be consumed on site. This only matters when there is a difference in value between offset of inflow energy from the grid and outflowed energy to the grid.</t>
        </r>
      </text>
    </comment>
    <comment ref="D28" authorId="0">
      <text>
        <r>
          <rPr>
            <b/>
            <sz val="9"/>
            <color indexed="81"/>
            <rFont val="Tahoma"/>
            <family val="2"/>
          </rPr>
          <t>Steve Wiese:</t>
        </r>
        <r>
          <rPr>
            <sz val="9"/>
            <color indexed="81"/>
            <rFont val="Tahoma"/>
            <family val="2"/>
          </rPr>
          <t xml:space="preserve">
By what percent will the addition of the PV system reduce annual demand charges? A reasonable approximation of this value may be made using building models and PV production models (such as PVWatts), or using high quality building energy consumption data. In either case, there will be uncertainty in the result, and modeling the system over a range of values is advised.</t>
        </r>
      </text>
    </comment>
    <comment ref="D29" authorId="0">
      <text>
        <r>
          <rPr>
            <b/>
            <sz val="9"/>
            <color indexed="81"/>
            <rFont val="Tahoma"/>
            <family val="2"/>
          </rPr>
          <t>Steve Wiese:</t>
        </r>
        <r>
          <rPr>
            <sz val="9"/>
            <color indexed="81"/>
            <rFont val="Tahoma"/>
            <family val="2"/>
          </rPr>
          <t xml:space="preserve">
This includes the sum, per kWh, of all electric bill items that are billed on a per kWh basis.</t>
        </r>
      </text>
    </comment>
    <comment ref="D33" authorId="0">
      <text>
        <r>
          <rPr>
            <b/>
            <sz val="9"/>
            <color indexed="81"/>
            <rFont val="Tahoma"/>
            <family val="2"/>
          </rPr>
          <t>Steve Wiese:</t>
        </r>
        <r>
          <rPr>
            <sz val="9"/>
            <color indexed="81"/>
            <rFont val="Tahoma"/>
            <family val="2"/>
          </rPr>
          <t xml:space="preserve">
Used only for systems integrating storage that is cycled daily for customers on a time of use rate.</t>
        </r>
      </text>
    </comment>
    <comment ref="D34" authorId="0">
      <text>
        <r>
          <rPr>
            <b/>
            <sz val="9"/>
            <color indexed="81"/>
            <rFont val="Tahoma"/>
            <family val="2"/>
          </rPr>
          <t>Steve Wiese:</t>
        </r>
        <r>
          <rPr>
            <sz val="9"/>
            <color indexed="81"/>
            <rFont val="Tahoma"/>
            <family val="2"/>
          </rPr>
          <t xml:space="preserve">
1.5% is the average annual increase in commercial retail electric rates in Texas from 1990-2016.</t>
        </r>
      </text>
    </comment>
    <comment ref="D37" authorId="0">
      <text>
        <r>
          <rPr>
            <b/>
            <sz val="9"/>
            <color indexed="81"/>
            <rFont val="Tahoma"/>
            <family val="2"/>
          </rPr>
          <t>Steve Wiese:</t>
        </r>
        <r>
          <rPr>
            <sz val="9"/>
            <color indexed="81"/>
            <rFont val="Tahoma"/>
            <family val="2"/>
          </rPr>
          <t xml:space="preserve">
Solar covered parking structures typically have a density of 2.5-4 kWdc per parking space.</t>
        </r>
      </text>
    </comment>
    <comment ref="D43" authorId="0">
      <text>
        <r>
          <rPr>
            <b/>
            <sz val="9"/>
            <color indexed="81"/>
            <rFont val="Tahoma"/>
            <family val="2"/>
          </rPr>
          <t>Steve Wiese:</t>
        </r>
        <r>
          <rPr>
            <sz val="9"/>
            <color indexed="81"/>
            <rFont val="Tahoma"/>
            <family val="2"/>
          </rPr>
          <t xml:space="preserve">
For storage systems only. Leave as $0 if value is not realized by customer.</t>
        </r>
      </text>
    </comment>
  </commentList>
</comments>
</file>

<file path=xl/comments4.xml><?xml version="1.0" encoding="utf-8"?>
<comments xmlns="http://schemas.openxmlformats.org/spreadsheetml/2006/main">
  <authors>
    <author>Steve Wiese</author>
  </authors>
  <commentList>
    <comment ref="D7" authorId="0">
      <text>
        <r>
          <rPr>
            <b/>
            <sz val="9"/>
            <color indexed="81"/>
            <rFont val="Tahoma"/>
            <family val="2"/>
          </rPr>
          <t>Steve Wiese:</t>
        </r>
        <r>
          <rPr>
            <sz val="9"/>
            <color indexed="81"/>
            <rFont val="Tahoma"/>
            <family val="2"/>
          </rPr>
          <t xml:space="preserve">
Tesla PowerWall comes in 6.6 kW units.</t>
        </r>
      </text>
    </comment>
    <comment ref="D8" authorId="0">
      <text>
        <r>
          <rPr>
            <b/>
            <sz val="9"/>
            <color indexed="81"/>
            <rFont val="Tahoma"/>
            <family val="2"/>
          </rPr>
          <t>Steve Wiese:</t>
        </r>
        <r>
          <rPr>
            <sz val="9"/>
            <color indexed="81"/>
            <rFont val="Tahoma"/>
            <family val="2"/>
          </rPr>
          <t xml:space="preserve">
Tesla PowerWall energy capacity is 6.4 kWh per unit.</t>
        </r>
      </text>
    </comment>
    <comment ref="D10" authorId="0">
      <text>
        <r>
          <rPr>
            <b/>
            <sz val="9"/>
            <color indexed="81"/>
            <rFont val="Tahoma"/>
            <family val="2"/>
          </rPr>
          <t>Steve Wiese:</t>
        </r>
        <r>
          <rPr>
            <sz val="9"/>
            <color indexed="81"/>
            <rFont val="Tahoma"/>
            <family val="2"/>
          </rPr>
          <t xml:space="preserve">
Tesla Powerwall price is $6500 per unit.</t>
        </r>
      </text>
    </comment>
    <comment ref="D21" authorId="0">
      <text>
        <r>
          <rPr>
            <b/>
            <sz val="9"/>
            <color indexed="81"/>
            <rFont val="Tahoma"/>
            <family val="2"/>
          </rPr>
          <t>Steve Wiese:</t>
        </r>
        <r>
          <rPr>
            <sz val="9"/>
            <color indexed="81"/>
            <rFont val="Tahoma"/>
            <family val="2"/>
          </rPr>
          <t xml:space="preserve">
NREL's PVWatts tool is found at http://pvwatts.nrel.gov/. This value can be entered directly, or picked up from a series of monthly values in rows 55-67 below.</t>
        </r>
      </text>
    </comment>
    <comment ref="D22" authorId="0">
      <text>
        <r>
          <rPr>
            <b/>
            <sz val="9"/>
            <color indexed="81"/>
            <rFont val="Tahoma"/>
            <family val="2"/>
          </rPr>
          <t>Steve Wiese:</t>
        </r>
        <r>
          <rPr>
            <sz val="9"/>
            <color indexed="81"/>
            <rFont val="Tahoma"/>
            <family val="2"/>
          </rPr>
          <t xml:space="preserve">
0.5% is commonly used industry average; some modules may degrade more or less quickly.</t>
        </r>
      </text>
    </comment>
    <comment ref="D23" authorId="0">
      <text>
        <r>
          <rPr>
            <b/>
            <sz val="9"/>
            <color indexed="81"/>
            <rFont val="Tahoma"/>
            <family val="2"/>
          </rPr>
          <t>Steve Wiese:</t>
        </r>
        <r>
          <rPr>
            <sz val="9"/>
            <color indexed="81"/>
            <rFont val="Tahoma"/>
            <family val="2"/>
          </rPr>
          <t xml:space="preserve">
An estimate of how much of the solar energy produced will outflow to the grid, versus be consumed on site. This only matters when there is a difference in value between offset of inflow energy from the grid and outflowed energy to the grid.</t>
        </r>
      </text>
    </comment>
    <comment ref="D24" authorId="0">
      <text>
        <r>
          <rPr>
            <b/>
            <sz val="9"/>
            <color indexed="81"/>
            <rFont val="Tahoma"/>
            <family val="2"/>
          </rPr>
          <t>Steve Wiese:</t>
        </r>
        <r>
          <rPr>
            <sz val="9"/>
            <color indexed="81"/>
            <rFont val="Tahoma"/>
            <family val="2"/>
          </rPr>
          <t xml:space="preserve">
By what percent will the addition of the PV system reduce annual demand charges? A reasonable approximation of this value may be made using building models and PV production models (such as PVWatts), or using high quality building energy consumption data. In either case, there will be uncertainty in the result, and modeling the system over a range of values is advised.</t>
        </r>
      </text>
    </comment>
    <comment ref="D25" authorId="0">
      <text>
        <r>
          <rPr>
            <b/>
            <sz val="9"/>
            <color indexed="81"/>
            <rFont val="Tahoma"/>
            <family val="2"/>
          </rPr>
          <t>Steve Wiese:</t>
        </r>
        <r>
          <rPr>
            <sz val="9"/>
            <color indexed="81"/>
            <rFont val="Tahoma"/>
            <family val="2"/>
          </rPr>
          <t xml:space="preserve">
This includes the sum, per kWh, of all electric bill items that are billed on a per kWh basis.</t>
        </r>
      </text>
    </comment>
    <comment ref="D29" authorId="0">
      <text>
        <r>
          <rPr>
            <b/>
            <sz val="9"/>
            <color indexed="81"/>
            <rFont val="Tahoma"/>
            <family val="2"/>
          </rPr>
          <t>Steve Wiese:</t>
        </r>
        <r>
          <rPr>
            <sz val="9"/>
            <color indexed="81"/>
            <rFont val="Tahoma"/>
            <family val="2"/>
          </rPr>
          <t xml:space="preserve">
Used only for systems integrating storage that is cycled daily for customers on a time of use rate.</t>
        </r>
      </text>
    </comment>
    <comment ref="D30" authorId="0">
      <text>
        <r>
          <rPr>
            <b/>
            <sz val="9"/>
            <color indexed="81"/>
            <rFont val="Tahoma"/>
            <family val="2"/>
          </rPr>
          <t>Steve Wiese:</t>
        </r>
        <r>
          <rPr>
            <sz val="9"/>
            <color indexed="81"/>
            <rFont val="Tahoma"/>
            <family val="2"/>
          </rPr>
          <t xml:space="preserve">
1.5% is the average annual increase in commercial retail electric rates in Texas from 1990-2016.</t>
        </r>
      </text>
    </comment>
    <comment ref="D33" authorId="0">
      <text>
        <r>
          <rPr>
            <b/>
            <sz val="9"/>
            <color indexed="81"/>
            <rFont val="Tahoma"/>
            <family val="2"/>
          </rPr>
          <t>Steve Wiese:</t>
        </r>
        <r>
          <rPr>
            <sz val="9"/>
            <color indexed="81"/>
            <rFont val="Tahoma"/>
            <family val="2"/>
          </rPr>
          <t xml:space="preserve">
Solar covered parking structures typically have a density of 2.5-4 kWdc per parking space.</t>
        </r>
      </text>
    </comment>
    <comment ref="D39" authorId="0">
      <text>
        <r>
          <rPr>
            <b/>
            <sz val="9"/>
            <color indexed="81"/>
            <rFont val="Tahoma"/>
            <family val="2"/>
          </rPr>
          <t>Steve Wiese:</t>
        </r>
        <r>
          <rPr>
            <sz val="9"/>
            <color indexed="81"/>
            <rFont val="Tahoma"/>
            <family val="2"/>
          </rPr>
          <t xml:space="preserve">
For storage systems only. Leave as $0 if value is not realized by customer.</t>
        </r>
      </text>
    </comment>
  </commentList>
</comments>
</file>

<file path=xl/comments5.xml><?xml version="1.0" encoding="utf-8"?>
<comments xmlns="http://schemas.openxmlformats.org/spreadsheetml/2006/main">
  <authors>
    <author>Steve Wiese</author>
  </authors>
  <commentList>
    <comment ref="D7" authorId="0">
      <text>
        <r>
          <rPr>
            <b/>
            <sz val="9"/>
            <color indexed="81"/>
            <rFont val="Tahoma"/>
            <family val="2"/>
          </rPr>
          <t>Steve Wiese:</t>
        </r>
        <r>
          <rPr>
            <sz val="9"/>
            <color indexed="81"/>
            <rFont val="Tahoma"/>
            <family val="2"/>
          </rPr>
          <t xml:space="preserve">
Tesla PowerWall comes in 6.6 kW units.</t>
        </r>
      </text>
    </comment>
    <comment ref="D8" authorId="0">
      <text>
        <r>
          <rPr>
            <b/>
            <sz val="9"/>
            <color indexed="81"/>
            <rFont val="Tahoma"/>
            <family val="2"/>
          </rPr>
          <t>Steve Wiese:</t>
        </r>
        <r>
          <rPr>
            <sz val="9"/>
            <color indexed="81"/>
            <rFont val="Tahoma"/>
            <family val="2"/>
          </rPr>
          <t xml:space="preserve">
Tesla PowerWall energy capacity is 6.4 kWh per unit.</t>
        </r>
      </text>
    </comment>
    <comment ref="D10" authorId="0">
      <text>
        <r>
          <rPr>
            <b/>
            <sz val="9"/>
            <color indexed="81"/>
            <rFont val="Tahoma"/>
            <family val="2"/>
          </rPr>
          <t>Steve Wiese:</t>
        </r>
        <r>
          <rPr>
            <sz val="9"/>
            <color indexed="81"/>
            <rFont val="Tahoma"/>
            <family val="2"/>
          </rPr>
          <t xml:space="preserve">
Tesla Powerwall price is $6500 per unit.</t>
        </r>
      </text>
    </comment>
    <comment ref="D21" authorId="0">
      <text>
        <r>
          <rPr>
            <b/>
            <sz val="9"/>
            <color indexed="81"/>
            <rFont val="Tahoma"/>
            <family val="2"/>
          </rPr>
          <t>Steve Wiese:</t>
        </r>
        <r>
          <rPr>
            <sz val="9"/>
            <color indexed="81"/>
            <rFont val="Tahoma"/>
            <family val="2"/>
          </rPr>
          <t xml:space="preserve">
NREL's PVWatts tool is found at http://pvwatts.nrel.gov/. This value can be entered directly, or picked up from a series of monthly values in rows 55-67 below.</t>
        </r>
      </text>
    </comment>
    <comment ref="D22" authorId="0">
      <text>
        <r>
          <rPr>
            <b/>
            <sz val="9"/>
            <color indexed="81"/>
            <rFont val="Tahoma"/>
            <family val="2"/>
          </rPr>
          <t>Steve Wiese:</t>
        </r>
        <r>
          <rPr>
            <sz val="9"/>
            <color indexed="81"/>
            <rFont val="Tahoma"/>
            <family val="2"/>
          </rPr>
          <t xml:space="preserve">
0.5% is commonly used industry average; some modules may degrade more or less quickly.</t>
        </r>
      </text>
    </comment>
    <comment ref="D23" authorId="0">
      <text>
        <r>
          <rPr>
            <b/>
            <sz val="9"/>
            <color indexed="81"/>
            <rFont val="Tahoma"/>
            <family val="2"/>
          </rPr>
          <t>Steve Wiese:</t>
        </r>
        <r>
          <rPr>
            <sz val="9"/>
            <color indexed="81"/>
            <rFont val="Tahoma"/>
            <family val="2"/>
          </rPr>
          <t xml:space="preserve">
An estimate of how much of the solar energy produced will outflow to the grid, versus be consumed on site. This only matters when there is a difference in value between offset of inflow energy from the grid and outflowed energy to the grid.</t>
        </r>
      </text>
    </comment>
    <comment ref="D24" authorId="0">
      <text>
        <r>
          <rPr>
            <b/>
            <sz val="9"/>
            <color indexed="81"/>
            <rFont val="Tahoma"/>
            <family val="2"/>
          </rPr>
          <t>Steve Wiese:</t>
        </r>
        <r>
          <rPr>
            <sz val="9"/>
            <color indexed="81"/>
            <rFont val="Tahoma"/>
            <family val="2"/>
          </rPr>
          <t xml:space="preserve">
By what percent will the addition of the PV system reduce annual demand charges? A reasonable approximation of this value may be made using building models and PV production models (such as PVWatts), or using high quality building energy consumption data. In either case, there will be uncertainty in the result, and modeling the system over a range of values is advised.</t>
        </r>
      </text>
    </comment>
    <comment ref="D25" authorId="0">
      <text>
        <r>
          <rPr>
            <b/>
            <sz val="9"/>
            <color indexed="81"/>
            <rFont val="Tahoma"/>
            <family val="2"/>
          </rPr>
          <t>Steve Wiese:</t>
        </r>
        <r>
          <rPr>
            <sz val="9"/>
            <color indexed="81"/>
            <rFont val="Tahoma"/>
            <family val="2"/>
          </rPr>
          <t xml:space="preserve">
This includes the sum, per kWh, of all electric bill items that are billed on a per kWh basis.</t>
        </r>
      </text>
    </comment>
    <comment ref="D29" authorId="0">
      <text>
        <r>
          <rPr>
            <b/>
            <sz val="9"/>
            <color indexed="81"/>
            <rFont val="Tahoma"/>
            <family val="2"/>
          </rPr>
          <t>Steve Wiese:</t>
        </r>
        <r>
          <rPr>
            <sz val="9"/>
            <color indexed="81"/>
            <rFont val="Tahoma"/>
            <family val="2"/>
          </rPr>
          <t xml:space="preserve">
Used only for systems integrating storage that is cycled daily for customers on a time of use rate.</t>
        </r>
      </text>
    </comment>
    <comment ref="D30" authorId="0">
      <text>
        <r>
          <rPr>
            <b/>
            <sz val="9"/>
            <color indexed="81"/>
            <rFont val="Tahoma"/>
            <family val="2"/>
          </rPr>
          <t>Steve Wiese:</t>
        </r>
        <r>
          <rPr>
            <sz val="9"/>
            <color indexed="81"/>
            <rFont val="Tahoma"/>
            <family val="2"/>
          </rPr>
          <t xml:space="preserve">
1.5% is the average annual increase in commercial retail electric rates in Texas from 1990-2016.</t>
        </r>
      </text>
    </comment>
    <comment ref="D33" authorId="0">
      <text>
        <r>
          <rPr>
            <b/>
            <sz val="9"/>
            <color indexed="81"/>
            <rFont val="Tahoma"/>
            <family val="2"/>
          </rPr>
          <t>Steve Wiese:</t>
        </r>
        <r>
          <rPr>
            <sz val="9"/>
            <color indexed="81"/>
            <rFont val="Tahoma"/>
            <family val="2"/>
          </rPr>
          <t xml:space="preserve">
Solar covered parking structures typically have a density of 2.5-4 kWdc per parking space.</t>
        </r>
      </text>
    </comment>
    <comment ref="D39" authorId="0">
      <text>
        <r>
          <rPr>
            <b/>
            <sz val="9"/>
            <color indexed="81"/>
            <rFont val="Tahoma"/>
            <family val="2"/>
          </rPr>
          <t>Steve Wiese:</t>
        </r>
        <r>
          <rPr>
            <sz val="9"/>
            <color indexed="81"/>
            <rFont val="Tahoma"/>
            <family val="2"/>
          </rPr>
          <t xml:space="preserve">
For storage systems only. Leave as $0 if value is not realized by customer.</t>
        </r>
      </text>
    </comment>
  </commentList>
</comments>
</file>

<file path=xl/sharedStrings.xml><?xml version="1.0" encoding="utf-8"?>
<sst xmlns="http://schemas.openxmlformats.org/spreadsheetml/2006/main" count="1040" uniqueCount="215">
  <si>
    <t>kWdc</t>
  </si>
  <si>
    <t>Value</t>
  </si>
  <si>
    <t>Unit</t>
  </si>
  <si>
    <t>$</t>
  </si>
  <si>
    <t>&lt;---------</t>
  </si>
  <si>
    <t>start of system operation</t>
  </si>
  <si>
    <t>%</t>
  </si>
  <si>
    <t>Credit value for outflows</t>
  </si>
  <si>
    <t>$/kWh</t>
  </si>
  <si>
    <t>Additional Grants</t>
  </si>
  <si>
    <t xml:space="preserve"> - Additional Grants</t>
  </si>
  <si>
    <t xml:space="preserve"> - Federal Tax Credit</t>
  </si>
  <si>
    <t>Operating Costs</t>
  </si>
  <si>
    <t>Capital Costs</t>
  </si>
  <si>
    <t xml:space="preserve"> - Annual scheduled O+M</t>
  </si>
  <si>
    <t xml:space="preserve"> - Inverter replacement</t>
  </si>
  <si>
    <t xml:space="preserve"> - Other costs</t>
  </si>
  <si>
    <t>Other costs</t>
  </si>
  <si>
    <t>$/yr</t>
  </si>
  <si>
    <t>Inverter cost reduction</t>
  </si>
  <si>
    <t>%/yr</t>
  </si>
  <si>
    <t>Inverter life</t>
  </si>
  <si>
    <t>yrs</t>
  </si>
  <si>
    <t>Inverter as % of installed cost</t>
  </si>
  <si>
    <t>% 6-9% per NREL</t>
  </si>
  <si>
    <t xml:space="preserve">  Reduced inflows</t>
  </si>
  <si>
    <t xml:space="preserve">  Outflows</t>
  </si>
  <si>
    <t>Credit value for reduced inflows</t>
  </si>
  <si>
    <t>Sum of Capital Costs</t>
  </si>
  <si>
    <t xml:space="preserve"> - Depreciation</t>
  </si>
  <si>
    <t>Depreciation method</t>
  </si>
  <si>
    <t>Depreciation basis</t>
  </si>
  <si>
    <t>REC value</t>
  </si>
  <si>
    <t>$/REC, yr 1-5</t>
  </si>
  <si>
    <t>$/REC, yr 6-10</t>
  </si>
  <si>
    <t>$/REC, yr 11-20</t>
  </si>
  <si>
    <t xml:space="preserve">  REC Value</t>
  </si>
  <si>
    <t>Total Operating Costs</t>
  </si>
  <si>
    <t>Net Income</t>
  </si>
  <si>
    <t>Cumulative Cash Flow</t>
  </si>
  <si>
    <t>Simple Payback Years</t>
  </si>
  <si>
    <t>"None", "MACRS"</t>
  </si>
  <si>
    <t>Financing</t>
  </si>
  <si>
    <t>% Financed</t>
  </si>
  <si>
    <t>Term</t>
  </si>
  <si>
    <t>Rate</t>
  </si>
  <si>
    <t xml:space="preserve"> - Interest pymts</t>
  </si>
  <si>
    <t>"Yes"/"No"</t>
  </si>
  <si>
    <t>Less Loan Proceeds</t>
  </si>
  <si>
    <t>Net Capital Costs</t>
  </si>
  <si>
    <t xml:space="preserve"> - Tax</t>
  </si>
  <si>
    <t>Marginal tax rate</t>
  </si>
  <si>
    <t>Net Income after Taxes</t>
  </si>
  <si>
    <t xml:space="preserve"> + Depreciation</t>
  </si>
  <si>
    <t xml:space="preserve"> - Principal pymts</t>
  </si>
  <si>
    <t>IRR</t>
  </si>
  <si>
    <t>Yes</t>
  </si>
  <si>
    <t>NPV</t>
  </si>
  <si>
    <t>kWh</t>
  </si>
  <si>
    <t>kW</t>
  </si>
  <si>
    <t>Loan origination costs</t>
  </si>
  <si>
    <t>Loan Origination Costs</t>
  </si>
  <si>
    <t>Annual Cash Flow</t>
  </si>
  <si>
    <t>Lump origination into loan?</t>
  </si>
  <si>
    <t>No</t>
  </si>
  <si>
    <t>None</t>
  </si>
  <si>
    <t>Financing Costs</t>
  </si>
  <si>
    <t>Benefits/Income</t>
  </si>
  <si>
    <t>$/kW</t>
  </si>
  <si>
    <t>Sum of Benefits/Income</t>
  </si>
  <si>
    <t>years</t>
  </si>
  <si>
    <t>Resiliency Value</t>
  </si>
  <si>
    <t xml:space="preserve">  Value of Shade/Shelter</t>
  </si>
  <si>
    <t xml:space="preserve">  Time of Use Arbitrage</t>
  </si>
  <si>
    <t xml:space="preserve">  Resiliency Value</t>
  </si>
  <si>
    <t xml:space="preserve"> - Utility Incentive</t>
  </si>
  <si>
    <t>PV System Size</t>
  </si>
  <si>
    <t>Utility Incentives</t>
  </si>
  <si>
    <t>Storage System Size</t>
  </si>
  <si>
    <t>Time of use arbitrage value</t>
  </si>
  <si>
    <t>PV System Cost</t>
  </si>
  <si>
    <t>Storage and Other Costs</t>
  </si>
  <si>
    <t>REC Value</t>
  </si>
  <si>
    <t>Shaded parking spaces</t>
  </si>
  <si>
    <t>Utilization rate</t>
  </si>
  <si>
    <t>#</t>
  </si>
  <si>
    <t xml:space="preserve">  PV Energy Value</t>
  </si>
  <si>
    <t>Demand charge?</t>
  </si>
  <si>
    <t>Is Net Income taxable?</t>
  </si>
  <si>
    <t xml:space="preserve">  Increased Tax Revenue</t>
  </si>
  <si>
    <t>Energy/demand value escalator</t>
  </si>
  <si>
    <t xml:space="preserve">  PV Demand Savings Value</t>
  </si>
  <si>
    <t>PV Energy Production</t>
  </si>
  <si>
    <t>Storage roundtrip efficiency</t>
  </si>
  <si>
    <t>Annual PV Production (yr 1)</t>
  </si>
  <si>
    <t>Annual PV Degradation Rate</t>
  </si>
  <si>
    <t>PV Outflow/Total Production Ratio</t>
  </si>
  <si>
    <t>Increase in tax revenue</t>
  </si>
  <si>
    <t>$/yr, yr 1-5</t>
  </si>
  <si>
    <t>$/yr, yr 6-10</t>
  </si>
  <si>
    <t>$/yr, yr 11-20</t>
  </si>
  <si>
    <t>System Summary</t>
  </si>
  <si>
    <t>Costs</t>
  </si>
  <si>
    <t>"Yes" or "No"</t>
  </si>
  <si>
    <t>Category</t>
  </si>
  <si>
    <t>PV Specs</t>
  </si>
  <si>
    <t>PV Demand Savings Factor</t>
  </si>
  <si>
    <t>Shading Value</t>
  </si>
  <si>
    <t>Tax Value</t>
  </si>
  <si>
    <t>Storage useful life</t>
  </si>
  <si>
    <t>Depreciation</t>
  </si>
  <si>
    <t>Tax Rate</t>
  </si>
  <si>
    <t>Discount Rate</t>
  </si>
  <si>
    <t>Discount rate for NPV calc.</t>
  </si>
  <si>
    <t>Increased daily rental fee/space</t>
  </si>
  <si>
    <t>kWh (from PVWatts)</t>
  </si>
  <si>
    <t>Demand charge savings value</t>
  </si>
  <si>
    <t>O+M cost escalator</t>
  </si>
  <si>
    <t>Benefit/Cost Ratio</t>
  </si>
  <si>
    <t>Direct Financial Benefits and Costs</t>
  </si>
  <si>
    <t>PV O&amp;M costs</t>
  </si>
  <si>
    <t>$/kW (from JEDI)</t>
  </si>
  <si>
    <t>Model Application 1. Simple Grid-Tied Solar</t>
  </si>
  <si>
    <t>Jobs</t>
  </si>
  <si>
    <t>Earnings</t>
  </si>
  <si>
    <t>Output</t>
  </si>
  <si>
    <t>$000 2016</t>
  </si>
  <si>
    <t>Month</t>
  </si>
  <si>
    <t>AC Energy</t>
  </si>
  <si>
    <t>January</t>
  </si>
  <si>
    <t>February</t>
  </si>
  <si>
    <t>March</t>
  </si>
  <si>
    <t>April</t>
  </si>
  <si>
    <t>May</t>
  </si>
  <si>
    <t>June</t>
  </si>
  <si>
    <t>July</t>
  </si>
  <si>
    <t>August</t>
  </si>
  <si>
    <t>September</t>
  </si>
  <si>
    <t>October</t>
  </si>
  <si>
    <t>November</t>
  </si>
  <si>
    <t>December</t>
  </si>
  <si>
    <t>Annual</t>
  </si>
  <si>
    <t>Nitrogen Oxides</t>
  </si>
  <si>
    <t>Carbon Dioxide</t>
  </si>
  <si>
    <t>Sulfur Dioxide</t>
  </si>
  <si>
    <t>CO2 avoidance</t>
  </si>
  <si>
    <t>average passenger vehicle miles</t>
  </si>
  <si>
    <t>CO2 emissions</t>
  </si>
  <si>
    <t>Carbon sequestered by</t>
  </si>
  <si>
    <t>tree seedlings grown for 10 years</t>
  </si>
  <si>
    <t>Lease Terms</t>
  </si>
  <si>
    <t>Starting monthly lease</t>
  </si>
  <si>
    <t>Annual escalator</t>
  </si>
  <si>
    <t>$/month</t>
  </si>
  <si>
    <t>Third party lease?</t>
  </si>
  <si>
    <t xml:space="preserve"> - Lease pymts</t>
  </si>
  <si>
    <t>kWh/month</t>
  </si>
  <si>
    <t>average home's annual electricity use</t>
  </si>
  <si>
    <t>Purchase option at year 10</t>
  </si>
  <si>
    <t>Tax Credits</t>
  </si>
  <si>
    <t>Incentives/</t>
  </si>
  <si>
    <t>Add'l Storage</t>
  </si>
  <si>
    <t>Specs</t>
  </si>
  <si>
    <t>PVWatts</t>
  </si>
  <si>
    <t>Monthly</t>
  </si>
  <si>
    <t>Retail Billing</t>
  </si>
  <si>
    <t>Details</t>
  </si>
  <si>
    <t>Item</t>
  </si>
  <si>
    <t xml:space="preserve">Direct </t>
  </si>
  <si>
    <t>Financial</t>
  </si>
  <si>
    <t>Annual and Cumulative Cash Flows</t>
  </si>
  <si>
    <t>During</t>
  </si>
  <si>
    <t>operating</t>
  </si>
  <si>
    <t>years (annual)</t>
  </si>
  <si>
    <t>construction</t>
  </si>
  <si>
    <t>period</t>
  </si>
  <si>
    <t>Metrics</t>
  </si>
  <si>
    <t>(from financial pro-forma model at right)</t>
  </si>
  <si>
    <t>Average avoided monthly kWh</t>
  </si>
  <si>
    <t>Avoided</t>
  </si>
  <si>
    <t>Emissions</t>
  </si>
  <si>
    <t>pounds/yr</t>
  </si>
  <si>
    <t>(from EPA Greenhouse Gas Equivalencies calculator)</t>
  </si>
  <si>
    <t xml:space="preserve">(from EPA EGRID Power Profiler) </t>
  </si>
  <si>
    <t>emissions</t>
  </si>
  <si>
    <t>equivalencies</t>
  </si>
  <si>
    <t>Solar/Energy Storage Financial Pro Forma and Benefit/Cost Analysis Tool</t>
  </si>
  <si>
    <t>A. Model Inputs</t>
  </si>
  <si>
    <t>B. Model Outputs</t>
  </si>
  <si>
    <t>C. Model Financial Pro Forma</t>
  </si>
  <si>
    <t>This Microsoft Excel tool was produced by Frontier Associates for the North Central Texas Council of Governments (NTCOG). It is intended to serve as a starting point for local governments to analyze and quantify the direct financial, and additional community, benefits and costs associated with investments in solar or solar and energy storage systems. Each of the four worksheets illustrates the analysis of one model application described in the full report, Benefits and Costs of Model Solar Applications for Local Governments. This tool, the full report, and a 2-page summary of each model application is available at www.GoSolarTexas.org. Additional technical assistance may be obtained from Frontier Associates at 512-372-8778, or www.frontierassoc.com.</t>
  </si>
  <si>
    <t>User input field</t>
  </si>
  <si>
    <t>(hold mouse cursor over input field to display)</t>
  </si>
  <si>
    <t>Each worksheet consists of three sections, Model Inputs, Model Outputs, and Model Financial Pro Forma.  These sections are described individually below.</t>
  </si>
  <si>
    <t>(from NREL JEDI model)</t>
  </si>
  <si>
    <t>Each model application represents a hypothetical system. These inputs do not represent any specific, real-world example of an installed system, but are designed to illustrate a common application likely to be of interest to local governments, with technical specifications, costs and utility rates that approximate current pricing in Texas at the time of publication (summer 2016). The model is intended to serve as an illustration of current project economics, and forms the basis of a model template financial pro-forma which can be customized by local government officials to meet the specific requirements of a locally-considered project.</t>
  </si>
  <si>
    <t>Overview, Instructions and Notes</t>
  </si>
  <si>
    <t>Does ITC apply?</t>
  </si>
  <si>
    <t>Federal ITC Value %</t>
  </si>
  <si>
    <t>Example comments</t>
  </si>
  <si>
    <t>Jobs and economic development impacts  (see notes on Instructions worksheet)</t>
  </si>
  <si>
    <t>Annual avoided emissions impacts  (see notes on Instructions worksheet)</t>
  </si>
  <si>
    <t>Annual avoided emissions equivalencies (see notes on Instructions worksheet)</t>
  </si>
  <si>
    <r>
      <rPr>
        <b/>
        <sz val="10"/>
        <color theme="1"/>
        <rFont val="Calibri"/>
        <family val="2"/>
        <scheme val="minor"/>
      </rPr>
      <t>Jobs and economic development impacts</t>
    </r>
    <r>
      <rPr>
        <sz val="10"/>
        <color theme="1"/>
        <rFont val="Calibri"/>
        <family val="2"/>
        <scheme val="minor"/>
      </rPr>
      <t xml:space="preserve"> were calculated using NREL's JEDI model, downloadable from http://www.nrel.gov/analysis/jedi/. In using the JEDI model for these examples, we filled in the basic Project Descriptive Data fields with applicable project data, but modified the project cost data to remove sales tax in cases where the local government was the direct purchaser. All other values were left at their defaults.</t>
    </r>
  </si>
  <si>
    <r>
      <rPr>
        <b/>
        <sz val="10"/>
        <color theme="1"/>
        <rFont val="Corbel"/>
        <family val="2"/>
      </rPr>
      <t>Annual avoided emissions impacts</t>
    </r>
    <r>
      <rPr>
        <sz val="10"/>
        <color theme="1"/>
        <rFont val="Corbel"/>
        <family val="2"/>
      </rPr>
      <t xml:space="preserve"> were calculated using EPA's eGRID Power Profiler, available at https://www.epa.gov/energy/power-profiler. After entering the job site's zip code and selecting the electric utility, select the tab titled Your Emissions from Electricity Use and enter the average monthly energy production from the solar energy system (this value is calculated on the worksheet) and click View Emissions. Your Annual Emissions appear below.</t>
    </r>
  </si>
  <si>
    <r>
      <rPr>
        <b/>
        <sz val="10"/>
        <color theme="1"/>
        <rFont val="Corbel"/>
        <family val="2"/>
      </rPr>
      <t>Annual avoided emissions equivalencies</t>
    </r>
    <r>
      <rPr>
        <sz val="10"/>
        <color theme="1"/>
        <rFont val="Corbel"/>
        <family val="2"/>
      </rPr>
      <t xml:space="preserve"> were calculated using EPA's Greenhouse Gas Equivalencies Calculator, available at https://www.epa.gov/energy/greenhouse-gas-equivalencies-calculator. Under Enter Your Data, choose the tab titled If You Have Emissions Data, enter the annual CO2 emissions, in pounds, provided by the eGRID Power Profiler, and push Calculate. A number of equivalency results appear below.</t>
    </r>
  </si>
  <si>
    <r>
      <t xml:space="preserve">The </t>
    </r>
    <r>
      <rPr>
        <b/>
        <sz val="10"/>
        <color theme="1"/>
        <rFont val="Corbel"/>
        <family val="2"/>
      </rPr>
      <t>Model Outputs</t>
    </r>
    <r>
      <rPr>
        <sz val="10"/>
        <color theme="1"/>
        <rFont val="Corbel"/>
        <family val="2"/>
      </rPr>
      <t xml:space="preserve"> section presents the direct financial analysis results (IRR, NPV, Simple Payback Years, Benefit-Cost ratio) and provides entries to record additional community impacts which are calculated in other linked tools.</t>
    </r>
  </si>
  <si>
    <r>
      <t xml:space="preserve">The </t>
    </r>
    <r>
      <rPr>
        <b/>
        <sz val="10"/>
        <rFont val="Corbel"/>
        <family val="2"/>
      </rPr>
      <t>Model Inputs</t>
    </r>
    <r>
      <rPr>
        <sz val="10"/>
        <rFont val="Corbel"/>
        <family val="2"/>
      </rPr>
      <t xml:space="preserve"> section is used to enter proposed system specifications, costs and financing assumptions, and electricity billing information. User input fields are identified with yellow highlighting. Additional tips are included in some input and unit fields as comments.</t>
    </r>
  </si>
  <si>
    <r>
      <t xml:space="preserve">The </t>
    </r>
    <r>
      <rPr>
        <b/>
        <sz val="10"/>
        <color theme="1"/>
        <rFont val="Corbel"/>
        <family val="2"/>
      </rPr>
      <t>Model Financial Pro Forma</t>
    </r>
    <r>
      <rPr>
        <sz val="10"/>
        <color theme="1"/>
        <rFont val="Corbel"/>
        <family val="2"/>
      </rPr>
      <t xml:space="preserve"> section details the year-by-year analysis of energy production and cash flows, and forms the basis for calculating the direct financial metrics. Like the entire worksheet, this section may be customized by the user to meet additional needs or unusual circumstances not addressed by the tool.</t>
    </r>
  </si>
  <si>
    <t>www.GoSolarTexas.org</t>
  </si>
  <si>
    <t>More resources at:</t>
  </si>
  <si>
    <t>Model Application 2. Solar with Shading</t>
  </si>
  <si>
    <t>Model Application 4. Solar plus Storage</t>
  </si>
  <si>
    <t>Model Application 2. Underutilized Land</t>
  </si>
  <si>
    <t>Resiliency value (from DOE 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</si>
</sst>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 numFmtId="167" formatCode="0.0"/>
    <numFmt numFmtId="168" formatCode="&quot;$&quot;#,##0.000_);[Red]\(&quot;$&quot;#,##0.000\)"/>
    <numFmt numFmtId="169" formatCode="#,##0.0"/>
    <numFmt numFmtId="170" formatCode="_(* #,##0_);_(* \(#,##0\);_(* &quot;-&quot;??_);_(@_)"/>
    <numFmt numFmtId="171" formatCode="&quot;$&quot;#,##0.000"/>
  </numFmts>
  <fonts count="25"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0"/>
      <color theme="1"/>
      <name val="Corbel"/>
      <family val="2"/>
    </font>
    <font>
      <sz val="10"/>
      <color theme="1"/>
      <name val="Corbel"/>
      <family val="2"/>
    </font>
    <font>
      <sz val="11"/>
      <color theme="1"/>
      <name val="Corbel"/>
      <family val="2"/>
    </font>
    <font>
      <b/>
      <sz val="10"/>
      <name val="Corbel"/>
      <family val="2"/>
    </font>
    <font>
      <b/>
      <sz val="18"/>
      <color theme="3" tint="-0.249977111117893"/>
      <name val="Corbel"/>
      <family val="2"/>
    </font>
    <font>
      <sz val="12"/>
      <color theme="8" tint="-0.249977111117893"/>
      <name val="Corbel"/>
      <family val="2"/>
    </font>
    <font>
      <u/>
      <sz val="12"/>
      <color theme="8" tint="-0.249977111117893"/>
      <name val="Corbel"/>
      <family val="2"/>
    </font>
    <font>
      <sz val="16"/>
      <color theme="8" tint="-0.249977111117893"/>
      <name val="Corbel"/>
      <family val="2"/>
    </font>
    <font>
      <b/>
      <sz val="16"/>
      <color theme="3" tint="-0.249977111117893"/>
      <name val="Corbel"/>
      <family val="2"/>
    </font>
    <font>
      <u/>
      <sz val="11"/>
      <color theme="10"/>
      <name val="Calibri"/>
      <family val="2"/>
      <scheme val="minor"/>
    </font>
    <font>
      <u/>
      <sz val="9"/>
      <color theme="10"/>
      <name val="Corbel"/>
      <family val="2"/>
    </font>
    <font>
      <sz val="10"/>
      <color theme="10"/>
      <name val="Corbel"/>
      <family val="2"/>
    </font>
    <font>
      <sz val="10"/>
      <name val="Corbel"/>
      <family val="2"/>
    </font>
    <font>
      <sz val="9"/>
      <name val="Corbel"/>
      <family val="2"/>
    </font>
    <font>
      <b/>
      <sz val="20"/>
      <color theme="3" tint="-0.249977111117893"/>
      <name val="Corbel"/>
      <family val="2"/>
    </font>
    <font>
      <b/>
      <sz val="14"/>
      <color theme="3" tint="-0.249977111117893"/>
      <name val="Corbel"/>
      <family val="2"/>
    </font>
    <font>
      <sz val="9"/>
      <color theme="1"/>
      <name val="Corbel"/>
      <family val="2"/>
    </font>
    <font>
      <i/>
      <sz val="10"/>
      <color theme="1"/>
      <name val="Corbel"/>
      <family val="2"/>
    </font>
    <font>
      <u/>
      <sz val="10"/>
      <color theme="10"/>
      <name val="Corbel"/>
      <family val="2"/>
    </font>
  </fonts>
  <fills count="7">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applyNumberFormat="0" applyFill="0" applyBorder="0" applyAlignment="0" applyProtection="0"/>
  </cellStyleXfs>
  <cellXfs count="123">
    <xf numFmtId="0" fontId="0" fillId="0" borderId="0" xfId="0"/>
    <xf numFmtId="0" fontId="6" fillId="0" borderId="0" xfId="0" applyFont="1"/>
    <xf numFmtId="0" fontId="7" fillId="0" borderId="0" xfId="0" applyFont="1"/>
    <xf numFmtId="44" fontId="7" fillId="0" borderId="0" xfId="1" applyFont="1"/>
    <xf numFmtId="3" fontId="7" fillId="0" borderId="0" xfId="0" applyNumberFormat="1" applyFont="1"/>
    <xf numFmtId="6" fontId="7" fillId="0" borderId="0" xfId="0" applyNumberFormat="1" applyFont="1"/>
    <xf numFmtId="165" fontId="7" fillId="0" borderId="0" xfId="0" applyNumberFormat="1" applyFont="1"/>
    <xf numFmtId="1" fontId="7" fillId="0" borderId="0" xfId="0" applyNumberFormat="1" applyFont="1"/>
    <xf numFmtId="8" fontId="7" fillId="0" borderId="0" xfId="0" applyNumberFormat="1" applyFont="1"/>
    <xf numFmtId="0" fontId="8" fillId="0" borderId="0" xfId="0" applyFont="1"/>
    <xf numFmtId="0" fontId="10" fillId="0" borderId="0" xfId="0" applyFont="1"/>
    <xf numFmtId="0" fontId="11" fillId="0" borderId="0" xfId="0" applyFont="1"/>
    <xf numFmtId="44" fontId="11" fillId="0" borderId="0" xfId="0" applyNumberFormat="1" applyFont="1"/>
    <xf numFmtId="0" fontId="11" fillId="0" borderId="1" xfId="0" applyFont="1" applyBorder="1"/>
    <xf numFmtId="0" fontId="11" fillId="0" borderId="0" xfId="0" applyFont="1" applyBorder="1"/>
    <xf numFmtId="0" fontId="12" fillId="0" borderId="0" xfId="0" applyFont="1" applyBorder="1"/>
    <xf numFmtId="0" fontId="11" fillId="0" borderId="1" xfId="0" applyFont="1" applyFill="1" applyBorder="1"/>
    <xf numFmtId="0" fontId="13" fillId="0" borderId="0" xfId="0" applyFont="1"/>
    <xf numFmtId="0" fontId="7" fillId="2" borderId="0" xfId="0" applyFont="1" applyFill="1"/>
    <xf numFmtId="165" fontId="7" fillId="2" borderId="0" xfId="0" applyNumberFormat="1" applyFont="1" applyFill="1"/>
    <xf numFmtId="0" fontId="7" fillId="2" borderId="0" xfId="0" applyFont="1" applyFill="1" applyAlignment="1">
      <alignment horizontal="right"/>
    </xf>
    <xf numFmtId="0" fontId="7" fillId="3" borderId="0" xfId="0" applyFont="1" applyFill="1"/>
    <xf numFmtId="0" fontId="7" fillId="3" borderId="0" xfId="0" applyFont="1" applyFill="1" applyAlignment="1">
      <alignment horizontal="right"/>
    </xf>
    <xf numFmtId="3" fontId="7" fillId="4" borderId="0" xfId="0" applyNumberFormat="1" applyFont="1" applyFill="1"/>
    <xf numFmtId="0" fontId="7" fillId="4" borderId="0" xfId="0" applyFont="1" applyFill="1"/>
    <xf numFmtId="165" fontId="7" fillId="4" borderId="0" xfId="0" applyNumberFormat="1" applyFont="1" applyFill="1"/>
    <xf numFmtId="0" fontId="7" fillId="4" borderId="0" xfId="0" applyFont="1" applyFill="1" applyAlignment="1">
      <alignment horizontal="right"/>
    </xf>
    <xf numFmtId="3" fontId="7" fillId="5" borderId="0" xfId="0" applyNumberFormat="1" applyFont="1" applyFill="1"/>
    <xf numFmtId="0" fontId="7" fillId="5" borderId="0" xfId="0" applyFont="1" applyFill="1"/>
    <xf numFmtId="165" fontId="7" fillId="5" borderId="0" xfId="0" applyNumberFormat="1" applyFont="1" applyFill="1"/>
    <xf numFmtId="9" fontId="7" fillId="5" borderId="0" xfId="2" applyFont="1" applyFill="1"/>
    <xf numFmtId="0" fontId="7" fillId="5" borderId="0" xfId="0" applyFont="1" applyFill="1" applyAlignment="1">
      <alignment horizontal="right"/>
    </xf>
    <xf numFmtId="9" fontId="7" fillId="5" borderId="0" xfId="0" applyNumberFormat="1" applyFont="1" applyFill="1"/>
    <xf numFmtId="10" fontId="7" fillId="5" borderId="0" xfId="0" applyNumberFormat="1" applyFont="1" applyFill="1"/>
    <xf numFmtId="168" fontId="7" fillId="5" borderId="0" xfId="0" applyNumberFormat="1" applyFont="1" applyFill="1"/>
    <xf numFmtId="164" fontId="7" fillId="5" borderId="0" xfId="0" applyNumberFormat="1" applyFont="1" applyFill="1"/>
    <xf numFmtId="166" fontId="7" fillId="5" borderId="0" xfId="0" applyNumberFormat="1" applyFont="1" applyFill="1"/>
    <xf numFmtId="1" fontId="7" fillId="5" borderId="0" xfId="0" applyNumberFormat="1" applyFont="1" applyFill="1"/>
    <xf numFmtId="0" fontId="7" fillId="5" borderId="0" xfId="0" applyNumberFormat="1" applyFont="1" applyFill="1"/>
    <xf numFmtId="0" fontId="7" fillId="3" borderId="3" xfId="0" applyFont="1" applyFill="1" applyBorder="1" applyAlignment="1">
      <alignment vertical="center" wrapText="1"/>
    </xf>
    <xf numFmtId="0" fontId="7" fillId="3" borderId="0" xfId="0" applyFont="1" applyFill="1" applyAlignment="1">
      <alignment vertical="center" wrapText="1"/>
    </xf>
    <xf numFmtId="0" fontId="7" fillId="3" borderId="1" xfId="0" applyFont="1" applyFill="1" applyBorder="1" applyAlignment="1">
      <alignment vertical="center" wrapText="1"/>
    </xf>
    <xf numFmtId="0" fontId="7" fillId="3" borderId="1" xfId="0" applyFont="1" applyFill="1" applyBorder="1"/>
    <xf numFmtId="0" fontId="7" fillId="3" borderId="1" xfId="0" applyFont="1" applyFill="1" applyBorder="1" applyAlignment="1">
      <alignment horizontal="left" vertical="center" wrapText="1"/>
    </xf>
    <xf numFmtId="6" fontId="7" fillId="3" borderId="0" xfId="0" applyNumberFormat="1" applyFont="1" applyFill="1"/>
    <xf numFmtId="8" fontId="7" fillId="3" borderId="0" xfId="0" applyNumberFormat="1" applyFont="1" applyFill="1"/>
    <xf numFmtId="0" fontId="7" fillId="4" borderId="1" xfId="0" applyFont="1" applyFill="1" applyBorder="1"/>
    <xf numFmtId="165" fontId="7" fillId="4" borderId="1" xfId="0" applyNumberFormat="1" applyFont="1" applyFill="1" applyBorder="1"/>
    <xf numFmtId="0" fontId="7" fillId="5" borderId="1" xfId="0" applyFont="1" applyFill="1" applyBorder="1"/>
    <xf numFmtId="165" fontId="7" fillId="5" borderId="1" xfId="0" applyNumberFormat="1" applyFont="1" applyFill="1" applyBorder="1"/>
    <xf numFmtId="6" fontId="7" fillId="5" borderId="1" xfId="0" applyNumberFormat="1" applyFont="1" applyFill="1" applyBorder="1" applyAlignment="1">
      <alignment horizontal="right"/>
    </xf>
    <xf numFmtId="0" fontId="7" fillId="5" borderId="1" xfId="0" applyFont="1" applyFill="1" applyBorder="1" applyAlignment="1">
      <alignment horizontal="right"/>
    </xf>
    <xf numFmtId="9" fontId="7" fillId="5" borderId="1" xfId="0" applyNumberFormat="1" applyFont="1" applyFill="1" applyBorder="1"/>
    <xf numFmtId="166" fontId="7" fillId="5" borderId="1" xfId="0" applyNumberFormat="1" applyFont="1" applyFill="1" applyBorder="1"/>
    <xf numFmtId="1" fontId="7" fillId="5" borderId="1" xfId="0" applyNumberFormat="1" applyFont="1" applyFill="1" applyBorder="1"/>
    <xf numFmtId="9" fontId="7" fillId="5" borderId="1" xfId="2" applyFont="1" applyFill="1" applyBorder="1"/>
    <xf numFmtId="0" fontId="14" fillId="0" borderId="0" xfId="0" applyFont="1"/>
    <xf numFmtId="0" fontId="13" fillId="0" borderId="0" xfId="0" applyFont="1" applyAlignment="1"/>
    <xf numFmtId="0" fontId="11" fillId="2" borderId="0" xfId="0" applyFont="1" applyFill="1" applyBorder="1"/>
    <xf numFmtId="0" fontId="7" fillId="2" borderId="1" xfId="0" applyFont="1" applyFill="1" applyBorder="1"/>
    <xf numFmtId="0" fontId="11" fillId="2" borderId="1" xfId="0" applyFont="1" applyFill="1" applyBorder="1"/>
    <xf numFmtId="0" fontId="7" fillId="2" borderId="0" xfId="0" applyFont="1" applyFill="1" applyAlignment="1">
      <alignment horizontal="left" indent="1"/>
    </xf>
    <xf numFmtId="166" fontId="7" fillId="2" borderId="0" xfId="0" applyNumberFormat="1" applyFont="1" applyFill="1" applyAlignment="1">
      <alignment horizontal="right"/>
    </xf>
    <xf numFmtId="167" fontId="7" fillId="2" borderId="1" xfId="0" applyNumberFormat="1" applyFont="1" applyFill="1" applyBorder="1" applyAlignment="1">
      <alignment horizontal="right"/>
    </xf>
    <xf numFmtId="0" fontId="6" fillId="2" borderId="0" xfId="0" applyFont="1" applyFill="1"/>
    <xf numFmtId="0" fontId="7" fillId="2" borderId="0" xfId="0" applyFont="1" applyFill="1" applyAlignment="1">
      <alignment horizontal="left"/>
    </xf>
    <xf numFmtId="0" fontId="7" fillId="2" borderId="1" xfId="0" applyFont="1" applyFill="1" applyBorder="1" applyAlignment="1">
      <alignment horizontal="left" indent="1"/>
    </xf>
    <xf numFmtId="0" fontId="7" fillId="2" borderId="1" xfId="0" applyFont="1" applyFill="1" applyBorder="1" applyAlignment="1">
      <alignment horizontal="left"/>
    </xf>
    <xf numFmtId="170" fontId="7" fillId="5" borderId="0" xfId="3" applyNumberFormat="1" applyFont="1" applyFill="1"/>
    <xf numFmtId="167" fontId="7" fillId="5" borderId="0" xfId="0" applyNumberFormat="1" applyFont="1" applyFill="1" applyAlignment="1">
      <alignment horizontal="right" indent="1"/>
    </xf>
    <xf numFmtId="171" fontId="7" fillId="5" borderId="0" xfId="0" applyNumberFormat="1" applyFont="1" applyFill="1" applyAlignment="1">
      <alignment horizontal="right" indent="1"/>
    </xf>
    <xf numFmtId="171" fontId="7" fillId="5" borderId="1" xfId="0" applyNumberFormat="1" applyFont="1" applyFill="1" applyBorder="1" applyAlignment="1">
      <alignment horizontal="right" indent="1"/>
    </xf>
    <xf numFmtId="170" fontId="7" fillId="5" borderId="1" xfId="3" applyNumberFormat="1" applyFont="1" applyFill="1" applyBorder="1"/>
    <xf numFmtId="0" fontId="6" fillId="2" borderId="1" xfId="0" applyFont="1" applyFill="1" applyBorder="1"/>
    <xf numFmtId="0" fontId="16" fillId="2" borderId="1" xfId="4" applyFont="1" applyFill="1" applyBorder="1" applyAlignment="1">
      <alignment horizontal="left" indent="1"/>
    </xf>
    <xf numFmtId="3" fontId="7" fillId="5" borderId="0" xfId="3" applyNumberFormat="1" applyFont="1" applyFill="1"/>
    <xf numFmtId="169" fontId="7" fillId="5" borderId="0" xfId="3" applyNumberFormat="1" applyFont="1" applyFill="1"/>
    <xf numFmtId="0" fontId="17" fillId="2" borderId="1" xfId="4" applyFont="1" applyFill="1" applyBorder="1" applyAlignment="1">
      <alignment horizontal="left" indent="1"/>
    </xf>
    <xf numFmtId="0" fontId="6" fillId="2" borderId="1" xfId="0" applyFont="1" applyFill="1" applyBorder="1" applyAlignment="1">
      <alignment horizontal="left" indent="1"/>
    </xf>
    <xf numFmtId="0" fontId="20" fillId="0" borderId="0" xfId="0" applyFont="1"/>
    <xf numFmtId="3" fontId="7" fillId="5" borderId="1" xfId="3" applyNumberFormat="1" applyFont="1" applyFill="1" applyBorder="1"/>
    <xf numFmtId="0" fontId="11" fillId="4" borderId="0" xfId="0" applyFont="1" applyFill="1"/>
    <xf numFmtId="0" fontId="19" fillId="4" borderId="0" xfId="0" applyFont="1" applyFill="1"/>
    <xf numFmtId="0" fontId="18" fillId="4" borderId="2" xfId="0" applyFont="1" applyFill="1" applyBorder="1" applyAlignment="1">
      <alignment horizontal="center"/>
    </xf>
    <xf numFmtId="0" fontId="18" fillId="4" borderId="0" xfId="0" applyFont="1" applyFill="1"/>
    <xf numFmtId="0" fontId="12" fillId="4" borderId="0" xfId="0" applyFont="1" applyFill="1"/>
    <xf numFmtId="0" fontId="19" fillId="4" borderId="1" xfId="0" applyFont="1" applyFill="1" applyBorder="1"/>
    <xf numFmtId="0" fontId="18" fillId="4" borderId="1" xfId="0" applyFont="1" applyFill="1" applyBorder="1"/>
    <xf numFmtId="167" fontId="7" fillId="4" borderId="0" xfId="0" applyNumberFormat="1" applyFont="1" applyFill="1"/>
    <xf numFmtId="0" fontId="7" fillId="4" borderId="0" xfId="0" applyFont="1" applyFill="1" applyAlignment="1">
      <alignment horizontal="left"/>
    </xf>
    <xf numFmtId="165" fontId="7" fillId="4" borderId="0" xfId="0" applyNumberFormat="1" applyFont="1" applyFill="1" applyBorder="1"/>
    <xf numFmtId="6" fontId="7" fillId="4" borderId="0" xfId="0" applyNumberFormat="1" applyFont="1" applyFill="1"/>
    <xf numFmtId="3" fontId="7" fillId="2" borderId="0" xfId="0" applyNumberFormat="1" applyFont="1" applyFill="1" applyAlignment="1">
      <alignment horizontal="right" vertical="center"/>
    </xf>
    <xf numFmtId="0" fontId="21" fillId="0" borderId="0" xfId="0" applyFont="1"/>
    <xf numFmtId="0" fontId="7" fillId="3" borderId="0" xfId="0" applyFont="1" applyFill="1" applyAlignment="1">
      <alignment vertical="top" wrapText="1"/>
    </xf>
    <xf numFmtId="0" fontId="1" fillId="5" borderId="0" xfId="0" applyFont="1" applyFill="1" applyAlignment="1">
      <alignment vertical="top" wrapText="1"/>
    </xf>
    <xf numFmtId="0" fontId="1" fillId="3" borderId="0" xfId="0" applyFont="1" applyFill="1" applyAlignment="1">
      <alignment vertical="top" wrapText="1"/>
    </xf>
    <xf numFmtId="0" fontId="7" fillId="3" borderId="0" xfId="0" applyFont="1" applyFill="1" applyAlignment="1">
      <alignment horizontal="right" vertical="top" wrapText="1"/>
    </xf>
    <xf numFmtId="0" fontId="0" fillId="0" borderId="0" xfId="0" applyFill="1" applyAlignment="1">
      <alignment vertical="top" wrapText="1"/>
    </xf>
    <xf numFmtId="0" fontId="22" fillId="0" borderId="0" xfId="0" applyFont="1" applyFill="1" applyAlignment="1">
      <alignment vertical="top" wrapText="1"/>
    </xf>
    <xf numFmtId="0" fontId="0" fillId="0" borderId="0" xfId="0" applyFill="1"/>
    <xf numFmtId="0" fontId="7" fillId="0" borderId="0" xfId="0" applyFont="1" applyFill="1" applyAlignment="1">
      <alignment vertical="top" wrapText="1"/>
    </xf>
    <xf numFmtId="0" fontId="18" fillId="3" borderId="0" xfId="0" applyFont="1" applyFill="1" applyAlignment="1">
      <alignment horizontal="left" vertical="top" wrapText="1"/>
    </xf>
    <xf numFmtId="0" fontId="7" fillId="2" borderId="0" xfId="0" applyFont="1" applyFill="1" applyAlignment="1">
      <alignment horizontal="left" vertical="top" wrapText="1"/>
    </xf>
    <xf numFmtId="0" fontId="1"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Border="1"/>
    <xf numFmtId="0" fontId="7" fillId="3" borderId="0" xfId="0" applyFont="1" applyFill="1" applyBorder="1" applyAlignment="1">
      <alignment vertical="center" wrapText="1"/>
    </xf>
    <xf numFmtId="0" fontId="7" fillId="3" borderId="0" xfId="0" applyFont="1" applyFill="1" applyBorder="1"/>
    <xf numFmtId="0" fontId="7" fillId="5" borderId="0" xfId="0" applyFont="1" applyFill="1" applyBorder="1" applyAlignment="1">
      <alignment horizontal="right"/>
    </xf>
    <xf numFmtId="0" fontId="24" fillId="3" borderId="0" xfId="4" applyFont="1" applyFill="1" applyAlignment="1">
      <alignment vertical="center" wrapText="1"/>
    </xf>
    <xf numFmtId="0" fontId="24" fillId="3" borderId="1" xfId="4" applyFont="1" applyFill="1" applyBorder="1"/>
    <xf numFmtId="166" fontId="7" fillId="5" borderId="0" xfId="2" applyNumberFormat="1" applyFont="1" applyFill="1" applyBorder="1" applyAlignment="1">
      <alignment horizontal="right"/>
    </xf>
    <xf numFmtId="0" fontId="7" fillId="2" borderId="0" xfId="0" applyFont="1" applyFill="1" applyAlignment="1">
      <alignment horizontal="left" vertical="top" wrapText="1"/>
    </xf>
    <xf numFmtId="0" fontId="7" fillId="0" borderId="0" xfId="0" applyFont="1" applyFill="1" applyAlignment="1">
      <alignment horizontal="center" vertical="top" wrapText="1"/>
    </xf>
    <xf numFmtId="0" fontId="18" fillId="6" borderId="0" xfId="0" applyFont="1" applyFill="1" applyAlignment="1">
      <alignment horizontal="left" vertical="top" wrapText="1"/>
    </xf>
    <xf numFmtId="0" fontId="18" fillId="3" borderId="0" xfId="0" applyFont="1" applyFill="1" applyAlignment="1">
      <alignment horizontal="left" vertical="top" wrapText="1"/>
    </xf>
    <xf numFmtId="0" fontId="7" fillId="3" borderId="0" xfId="0" applyFont="1" applyFill="1" applyAlignment="1">
      <alignment horizontal="right" vertical="top" wrapText="1"/>
    </xf>
    <xf numFmtId="0" fontId="7" fillId="4" borderId="0" xfId="0" applyFont="1" applyFill="1" applyAlignment="1">
      <alignment horizontal="left" vertical="top" wrapText="1"/>
    </xf>
    <xf numFmtId="0" fontId="1" fillId="2" borderId="0" xfId="0" applyFont="1" applyFill="1" applyAlignment="1">
      <alignment horizontal="left" vertical="top" wrapText="1"/>
    </xf>
    <xf numFmtId="0" fontId="24" fillId="0" borderId="0" xfId="4" applyFont="1" applyFill="1" applyAlignment="1">
      <alignment horizontal="center" vertical="top" wrapText="1"/>
    </xf>
    <xf numFmtId="0" fontId="23" fillId="6" borderId="0" xfId="0" applyFont="1" applyFill="1" applyAlignment="1">
      <alignment horizontal="left" vertical="top" wrapText="1"/>
    </xf>
    <xf numFmtId="0" fontId="7" fillId="3" borderId="0" xfId="0" applyFont="1" applyFill="1" applyAlignment="1">
      <alignment horizontal="left" vertical="top" wrapText="1"/>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9" defaultPivotStyle="PivotStyleLight16"/>
  <colors>
    <mruColors>
      <color rgb="FFEAED7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5149536927302"/>
          <c:y val="5.1400554097404488E-2"/>
          <c:w val="0.85916069697540021"/>
          <c:h val="0.82696425236427917"/>
        </c:manualLayout>
      </c:layout>
      <c:barChart>
        <c:barDir val="col"/>
        <c:grouping val="clustered"/>
        <c:varyColors val="0"/>
        <c:ser>
          <c:idx val="0"/>
          <c:order val="0"/>
          <c:tx>
            <c:strRef>
              <c:f>'1. Simple Grid-Tied Solar'!$K$47</c:f>
              <c:strCache>
                <c:ptCount val="1"/>
                <c:pt idx="0">
                  <c:v>Annual Cash Flow</c:v>
                </c:pt>
              </c:strCache>
            </c:strRef>
          </c:tx>
          <c:invertIfNegative val="0"/>
          <c:cat>
            <c:numRef>
              <c:f>'1. Simple Grid-Tied Solar'!$L$7:$AP$7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'1. Simple Grid-Tied Solar'!$L$47:$AP$47</c:f>
              <c:numCache>
                <c:formatCode>"$"#,##0</c:formatCode>
                <c:ptCount val="31"/>
                <c:pt idx="0">
                  <c:v>-350000</c:v>
                </c:pt>
                <c:pt idx="1">
                  <c:v>21393.74</c:v>
                </c:pt>
                <c:pt idx="2">
                  <c:v>21592.544441999999</c:v>
                </c:pt>
                <c:pt idx="3">
                  <c:v>21793.426613836844</c:v>
                </c:pt>
                <c:pt idx="4">
                  <c:v>21996.101183752922</c:v>
                </c:pt>
                <c:pt idx="5">
                  <c:v>22200.582920937024</c:v>
                </c:pt>
                <c:pt idx="6">
                  <c:v>22406.886695856705</c:v>
                </c:pt>
                <c:pt idx="7">
                  <c:v>22615.027480583911</c:v>
                </c:pt>
                <c:pt idx="8">
                  <c:v>22825.020349113591</c:v>
                </c:pt>
                <c:pt idx="9">
                  <c:v>23036.8804776752</c:v>
                </c:pt>
                <c:pt idx="10">
                  <c:v>23250.623145036734</c:v>
                </c:pt>
                <c:pt idx="11">
                  <c:v>23466.263732801155</c:v>
                </c:pt>
                <c:pt idx="12">
                  <c:v>23683.817725694869</c:v>
                </c:pt>
                <c:pt idx="13">
                  <c:v>23903.300711848249</c:v>
                </c:pt>
                <c:pt idx="14">
                  <c:v>24124.728383067584</c:v>
                </c:pt>
                <c:pt idx="15">
                  <c:v>24348.116535098583</c:v>
                </c:pt>
                <c:pt idx="16">
                  <c:v>24573.481067880923</c:v>
                </c:pt>
                <c:pt idx="17">
                  <c:v>24800.837985793703</c:v>
                </c:pt>
                <c:pt idx="18">
                  <c:v>25030.203397891481</c:v>
                </c:pt>
                <c:pt idx="19">
                  <c:v>25261.593518130663</c:v>
                </c:pt>
                <c:pt idx="20">
                  <c:v>25495.024665585937</c:v>
                </c:pt>
                <c:pt idx="21">
                  <c:v>25730.513264656525</c:v>
                </c:pt>
                <c:pt idx="22">
                  <c:v>25968.075845261865</c:v>
                </c:pt>
                <c:pt idx="23">
                  <c:v>26207.729043026509</c:v>
                </c:pt>
                <c:pt idx="24">
                  <c:v>26449.48959945398</c:v>
                </c:pt>
                <c:pt idx="25">
                  <c:v>26693.374362089115</c:v>
                </c:pt>
                <c:pt idx="26">
                  <c:v>26939.400284668831</c:v>
                </c:pt>
                <c:pt idx="27">
                  <c:v>27187.584427260677</c:v>
                </c:pt>
                <c:pt idx="28">
                  <c:v>27437.943956389237</c:v>
                </c:pt>
                <c:pt idx="29">
                  <c:v>27690.496145149729</c:v>
                </c:pt>
                <c:pt idx="30">
                  <c:v>27945.258373308578</c:v>
                </c:pt>
              </c:numCache>
            </c:numRef>
          </c:val>
        </c:ser>
        <c:dLbls>
          <c:showLegendKey val="0"/>
          <c:showVal val="0"/>
          <c:showCatName val="0"/>
          <c:showSerName val="0"/>
          <c:showPercent val="0"/>
          <c:showBubbleSize val="0"/>
        </c:dLbls>
        <c:gapWidth val="150"/>
        <c:axId val="222262784"/>
        <c:axId val="222035968"/>
      </c:barChart>
      <c:lineChart>
        <c:grouping val="standard"/>
        <c:varyColors val="0"/>
        <c:ser>
          <c:idx val="1"/>
          <c:order val="1"/>
          <c:tx>
            <c:strRef>
              <c:f>'1. Simple Grid-Tied Solar'!$K$48</c:f>
              <c:strCache>
                <c:ptCount val="1"/>
                <c:pt idx="0">
                  <c:v>Cumulative Cash Flow</c:v>
                </c:pt>
              </c:strCache>
            </c:strRef>
          </c:tx>
          <c:spPr>
            <a:ln w="38100">
              <a:solidFill>
                <a:schemeClr val="accent3">
                  <a:lumMod val="75000"/>
                </a:schemeClr>
              </a:solidFill>
            </a:ln>
          </c:spPr>
          <c:marker>
            <c:symbol val="none"/>
          </c:marker>
          <c:cat>
            <c:numRef>
              <c:f>'1. Simple Grid-Tied Solar'!$L$7:$AP$7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'1. Simple Grid-Tied Solar'!$L$48:$AP$48</c:f>
              <c:numCache>
                <c:formatCode>"$"#,##0</c:formatCode>
                <c:ptCount val="31"/>
                <c:pt idx="0">
                  <c:v>-350000</c:v>
                </c:pt>
                <c:pt idx="1">
                  <c:v>-328606.26</c:v>
                </c:pt>
                <c:pt idx="2">
                  <c:v>-307013.71555800003</c:v>
                </c:pt>
                <c:pt idx="3">
                  <c:v>-285220.28894416319</c:v>
                </c:pt>
                <c:pt idx="4">
                  <c:v>-263224.18776041025</c:v>
                </c:pt>
                <c:pt idx="5">
                  <c:v>-241023.60483947324</c:v>
                </c:pt>
                <c:pt idx="6">
                  <c:v>-218616.71814361654</c:v>
                </c:pt>
                <c:pt idx="7">
                  <c:v>-196001.69066303264</c:v>
                </c:pt>
                <c:pt idx="8">
                  <c:v>-173176.67031391905</c:v>
                </c:pt>
                <c:pt idx="9">
                  <c:v>-150139.78983624384</c:v>
                </c:pt>
                <c:pt idx="10">
                  <c:v>-126889.16669120711</c:v>
                </c:pt>
                <c:pt idx="11">
                  <c:v>-103422.90295840596</c:v>
                </c:pt>
                <c:pt idx="12">
                  <c:v>-79739.085232711092</c:v>
                </c:pt>
                <c:pt idx="13">
                  <c:v>-55835.784520862842</c:v>
                </c:pt>
                <c:pt idx="14">
                  <c:v>-31711.056137795258</c:v>
                </c:pt>
                <c:pt idx="15">
                  <c:v>-7362.9396026966751</c:v>
                </c:pt>
                <c:pt idx="16">
                  <c:v>17210.541465184247</c:v>
                </c:pt>
                <c:pt idx="17">
                  <c:v>42011.379450977955</c:v>
                </c:pt>
                <c:pt idx="18">
                  <c:v>67041.582848869439</c:v>
                </c:pt>
                <c:pt idx="19">
                  <c:v>92303.176367000095</c:v>
                </c:pt>
                <c:pt idx="20">
                  <c:v>117798.20103258603</c:v>
                </c:pt>
                <c:pt idx="21">
                  <c:v>143528.71429724255</c:v>
                </c:pt>
                <c:pt idx="22">
                  <c:v>169496.79014250441</c:v>
                </c:pt>
                <c:pt idx="23">
                  <c:v>195704.51918553092</c:v>
                </c:pt>
                <c:pt idx="24">
                  <c:v>222154.00878498491</c:v>
                </c:pt>
                <c:pt idx="25">
                  <c:v>248847.38314707403</c:v>
                </c:pt>
                <c:pt idx="26">
                  <c:v>275786.78343174286</c:v>
                </c:pt>
                <c:pt idx="27">
                  <c:v>302974.36785900354</c:v>
                </c:pt>
                <c:pt idx="28">
                  <c:v>330412.31181539281</c:v>
                </c:pt>
                <c:pt idx="29">
                  <c:v>358102.80796054256</c:v>
                </c:pt>
                <c:pt idx="30">
                  <c:v>386048.06633385114</c:v>
                </c:pt>
              </c:numCache>
            </c:numRef>
          </c:val>
          <c:smooth val="0"/>
        </c:ser>
        <c:dLbls>
          <c:showLegendKey val="0"/>
          <c:showVal val="0"/>
          <c:showCatName val="0"/>
          <c:showSerName val="0"/>
          <c:showPercent val="0"/>
          <c:showBubbleSize val="0"/>
        </c:dLbls>
        <c:marker val="1"/>
        <c:smooth val="0"/>
        <c:axId val="222262784"/>
        <c:axId val="222035968"/>
      </c:lineChart>
      <c:catAx>
        <c:axId val="222262784"/>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22035968"/>
        <c:crosses val="autoZero"/>
        <c:auto val="1"/>
        <c:lblAlgn val="ctr"/>
        <c:lblOffset val="100"/>
        <c:tickLblSkip val="5"/>
        <c:noMultiLvlLbl val="0"/>
      </c:catAx>
      <c:valAx>
        <c:axId val="222035968"/>
        <c:scaling>
          <c:orientation val="minMax"/>
        </c:scaling>
        <c:delete val="0"/>
        <c:axPos val="l"/>
        <c:majorGridlines>
          <c:spPr>
            <a:ln>
              <a:solidFill>
                <a:schemeClr val="accent1">
                  <a:alpha val="30000"/>
                </a:schemeClr>
              </a:solidFill>
            </a:ln>
          </c:spPr>
        </c:majorGridlines>
        <c:numFmt formatCode="&quot;$&quot;#,##0.0" sourceLinked="0"/>
        <c:majorTickMark val="out"/>
        <c:minorTickMark val="none"/>
        <c:tickLblPos val="nextTo"/>
        <c:crossAx val="222262784"/>
        <c:crosses val="autoZero"/>
        <c:crossBetween val="between"/>
        <c:dispUnits>
          <c:builtInUnit val="millions"/>
          <c:dispUnitsLbl>
            <c:layout/>
          </c:dispUnitsLbl>
        </c:dispUnits>
      </c:valAx>
    </c:plotArea>
    <c:legend>
      <c:legendPos val="r"/>
      <c:layout>
        <c:manualLayout>
          <c:xMode val="edge"/>
          <c:yMode val="edge"/>
          <c:x val="0.24674890638670166"/>
          <c:y val="6.9060586176727903E-2"/>
          <c:w val="0.50604217617143998"/>
          <c:h val="0.2356728020485942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5149536927302"/>
          <c:y val="5.1400554097404488E-2"/>
          <c:w val="0.85916069697540021"/>
          <c:h val="0.82696425236427917"/>
        </c:manualLayout>
      </c:layout>
      <c:barChart>
        <c:barDir val="col"/>
        <c:grouping val="clustered"/>
        <c:varyColors val="0"/>
        <c:ser>
          <c:idx val="0"/>
          <c:order val="0"/>
          <c:tx>
            <c:strRef>
              <c:f>'2. Underutilized Land'!$K$48</c:f>
              <c:strCache>
                <c:ptCount val="1"/>
                <c:pt idx="0">
                  <c:v>Annual Cash Flow</c:v>
                </c:pt>
              </c:strCache>
            </c:strRef>
          </c:tx>
          <c:invertIfNegative val="0"/>
          <c:cat>
            <c:numRef>
              <c:f>'2. Underutilized Land'!$L$7:$AP$7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'2. Underutilized Land'!$L$48:$AP$48</c:f>
              <c:numCache>
                <c:formatCode>"$"#,##0</c:formatCode>
                <c:ptCount val="31"/>
                <c:pt idx="0">
                  <c:v>0</c:v>
                </c:pt>
                <c:pt idx="1">
                  <c:v>28341.772000000008</c:v>
                </c:pt>
                <c:pt idx="2">
                  <c:v>26978.46110960003</c:v>
                </c:pt>
                <c:pt idx="3">
                  <c:v>25577.257836112869</c:v>
                </c:pt>
                <c:pt idx="4">
                  <c:v>24137.113152636215</c:v>
                </c:pt>
                <c:pt idx="5">
                  <c:v>22657.265048663656</c:v>
                </c:pt>
                <c:pt idx="6">
                  <c:v>21136.938317978871</c:v>
                </c:pt>
                <c:pt idx="7">
                  <c:v>19575.344343197765</c:v>
                </c:pt>
                <c:pt idx="8">
                  <c:v>17971.680876903236</c:v>
                </c:pt>
                <c:pt idx="9">
                  <c:v>16325.131819322007</c:v>
                </c:pt>
                <c:pt idx="10">
                  <c:v>14634.866992490133</c:v>
                </c:pt>
                <c:pt idx="11">
                  <c:v>-1678045.3643818228</c:v>
                </c:pt>
                <c:pt idx="12">
                  <c:v>323805.80065715098</c:v>
                </c:pt>
                <c:pt idx="13">
                  <c:v>325635.01146755065</c:v>
                </c:pt>
                <c:pt idx="14">
                  <c:v>327440.84034240979</c:v>
                </c:pt>
                <c:pt idx="15">
                  <c:v>329221.80911043315</c:v>
                </c:pt>
                <c:pt idx="16">
                  <c:v>330976.38754630799</c:v>
                </c:pt>
                <c:pt idx="17">
                  <c:v>332702.99173257238</c:v>
                </c:pt>
                <c:pt idx="18">
                  <c:v>334399.98237158154</c:v>
                </c:pt>
                <c:pt idx="19">
                  <c:v>336065.66304606484</c:v>
                </c:pt>
                <c:pt idx="20">
                  <c:v>337698.27842672582</c:v>
                </c:pt>
                <c:pt idx="21">
                  <c:v>339296.01242528751</c:v>
                </c:pt>
                <c:pt idx="22">
                  <c:v>340856.9862913402</c:v>
                </c:pt>
                <c:pt idx="23">
                  <c:v>342379.25665129564</c:v>
                </c:pt>
                <c:pt idx="24">
                  <c:v>343860.8134877038</c:v>
                </c:pt>
                <c:pt idx="25">
                  <c:v>345299.5780571379</c:v>
                </c:pt>
                <c:pt idx="26">
                  <c:v>346693.40074479056</c:v>
                </c:pt>
                <c:pt idx="27">
                  <c:v>348040.05885388132</c:v>
                </c:pt>
                <c:pt idx="28">
                  <c:v>349337.25432790566</c:v>
                </c:pt>
                <c:pt idx="29">
                  <c:v>350582.61140370666</c:v>
                </c:pt>
                <c:pt idx="30">
                  <c:v>351773.67419328308</c:v>
                </c:pt>
              </c:numCache>
            </c:numRef>
          </c:val>
        </c:ser>
        <c:dLbls>
          <c:showLegendKey val="0"/>
          <c:showVal val="0"/>
          <c:showCatName val="0"/>
          <c:showSerName val="0"/>
          <c:showPercent val="0"/>
          <c:showBubbleSize val="0"/>
        </c:dLbls>
        <c:gapWidth val="150"/>
        <c:axId val="239937024"/>
        <c:axId val="222041152"/>
      </c:barChart>
      <c:lineChart>
        <c:grouping val="standard"/>
        <c:varyColors val="0"/>
        <c:ser>
          <c:idx val="1"/>
          <c:order val="1"/>
          <c:tx>
            <c:strRef>
              <c:f>'2. Underutilized Land'!$K$49</c:f>
              <c:strCache>
                <c:ptCount val="1"/>
                <c:pt idx="0">
                  <c:v>Cumulative Cash Flow</c:v>
                </c:pt>
              </c:strCache>
            </c:strRef>
          </c:tx>
          <c:spPr>
            <a:ln w="38100">
              <a:solidFill>
                <a:schemeClr val="accent3">
                  <a:lumMod val="75000"/>
                </a:schemeClr>
              </a:solidFill>
            </a:ln>
          </c:spPr>
          <c:marker>
            <c:symbol val="none"/>
          </c:marker>
          <c:cat>
            <c:numRef>
              <c:f>'2. Underutilized Land'!$L$7:$AP$7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'2. Underutilized Land'!$L$49:$AP$49</c:f>
              <c:numCache>
                <c:formatCode>"$"#,##0</c:formatCode>
                <c:ptCount val="31"/>
                <c:pt idx="0">
                  <c:v>0</c:v>
                </c:pt>
                <c:pt idx="1">
                  <c:v>28341.772000000008</c:v>
                </c:pt>
                <c:pt idx="2">
                  <c:v>55320.233109600042</c:v>
                </c:pt>
                <c:pt idx="3">
                  <c:v>80897.490945712911</c:v>
                </c:pt>
                <c:pt idx="4">
                  <c:v>105034.60409834913</c:v>
                </c:pt>
                <c:pt idx="5">
                  <c:v>127691.86914701278</c:v>
                </c:pt>
                <c:pt idx="6">
                  <c:v>148828.80746499164</c:v>
                </c:pt>
                <c:pt idx="7">
                  <c:v>168404.1518081894</c:v>
                </c:pt>
                <c:pt idx="8">
                  <c:v>186375.83268509264</c:v>
                </c:pt>
                <c:pt idx="9">
                  <c:v>202700.96450441465</c:v>
                </c:pt>
                <c:pt idx="10">
                  <c:v>217335.83149690478</c:v>
                </c:pt>
                <c:pt idx="11">
                  <c:v>-1460709.5328849179</c:v>
                </c:pt>
                <c:pt idx="12">
                  <c:v>-1136903.7322277669</c:v>
                </c:pt>
                <c:pt idx="13">
                  <c:v>-811268.72076021624</c:v>
                </c:pt>
                <c:pt idx="14">
                  <c:v>-483827.88041780645</c:v>
                </c:pt>
                <c:pt idx="15">
                  <c:v>-154606.07130737329</c:v>
                </c:pt>
                <c:pt idx="16">
                  <c:v>176370.3162389347</c:v>
                </c:pt>
                <c:pt idx="17">
                  <c:v>509073.30797150708</c:v>
                </c:pt>
                <c:pt idx="18">
                  <c:v>843473.29034308856</c:v>
                </c:pt>
                <c:pt idx="19">
                  <c:v>1179538.9533891534</c:v>
                </c:pt>
                <c:pt idx="20">
                  <c:v>1517237.2318158792</c:v>
                </c:pt>
                <c:pt idx="21">
                  <c:v>1856533.2442411669</c:v>
                </c:pt>
                <c:pt idx="22">
                  <c:v>2197390.2305325069</c:v>
                </c:pt>
                <c:pt idx="23">
                  <c:v>2539769.4871838028</c:v>
                </c:pt>
                <c:pt idx="24">
                  <c:v>2883630.3006715067</c:v>
                </c:pt>
                <c:pt idx="25">
                  <c:v>3228929.8787286445</c:v>
                </c:pt>
                <c:pt idx="26">
                  <c:v>3575623.2794734351</c:v>
                </c:pt>
                <c:pt idx="27">
                  <c:v>3923663.3383273166</c:v>
                </c:pt>
                <c:pt idx="28">
                  <c:v>4273000.5926552219</c:v>
                </c:pt>
                <c:pt idx="29">
                  <c:v>4623583.2040589284</c:v>
                </c:pt>
                <c:pt idx="30">
                  <c:v>4975356.878252212</c:v>
                </c:pt>
              </c:numCache>
            </c:numRef>
          </c:val>
          <c:smooth val="0"/>
        </c:ser>
        <c:dLbls>
          <c:showLegendKey val="0"/>
          <c:showVal val="0"/>
          <c:showCatName val="0"/>
          <c:showSerName val="0"/>
          <c:showPercent val="0"/>
          <c:showBubbleSize val="0"/>
        </c:dLbls>
        <c:marker val="1"/>
        <c:smooth val="0"/>
        <c:axId val="239937024"/>
        <c:axId val="222041152"/>
      </c:lineChart>
      <c:catAx>
        <c:axId val="239937024"/>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22041152"/>
        <c:crosses val="autoZero"/>
        <c:auto val="1"/>
        <c:lblAlgn val="ctr"/>
        <c:lblOffset val="100"/>
        <c:tickLblSkip val="5"/>
        <c:noMultiLvlLbl val="0"/>
      </c:catAx>
      <c:valAx>
        <c:axId val="222041152"/>
        <c:scaling>
          <c:orientation val="minMax"/>
        </c:scaling>
        <c:delete val="0"/>
        <c:axPos val="l"/>
        <c:majorGridlines>
          <c:spPr>
            <a:ln>
              <a:solidFill>
                <a:schemeClr val="accent1">
                  <a:alpha val="30000"/>
                </a:schemeClr>
              </a:solidFill>
            </a:ln>
          </c:spPr>
        </c:majorGridlines>
        <c:numFmt formatCode="&quot;$&quot;#,##0.0" sourceLinked="0"/>
        <c:majorTickMark val="out"/>
        <c:minorTickMark val="none"/>
        <c:tickLblPos val="nextTo"/>
        <c:crossAx val="239937024"/>
        <c:crosses val="autoZero"/>
        <c:crossBetween val="between"/>
        <c:dispUnits>
          <c:builtInUnit val="millions"/>
          <c:dispUnitsLbl>
            <c:layout/>
          </c:dispUnitsLbl>
        </c:dispUnits>
      </c:valAx>
    </c:plotArea>
    <c:legend>
      <c:legendPos val="r"/>
      <c:layout>
        <c:manualLayout>
          <c:xMode val="edge"/>
          <c:yMode val="edge"/>
          <c:x val="0.24674890638670166"/>
          <c:y val="6.9060586176727903E-2"/>
          <c:w val="0.31526565747316115"/>
          <c:h val="0.2435410501556510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5149536927302"/>
          <c:y val="5.1400554097404488E-2"/>
          <c:w val="0.85916069697540021"/>
          <c:h val="0.82696425236427917"/>
        </c:manualLayout>
      </c:layout>
      <c:barChart>
        <c:barDir val="col"/>
        <c:grouping val="clustered"/>
        <c:varyColors val="0"/>
        <c:ser>
          <c:idx val="0"/>
          <c:order val="0"/>
          <c:tx>
            <c:strRef>
              <c:f>'3. Solar w Shading'!$K$47</c:f>
              <c:strCache>
                <c:ptCount val="1"/>
                <c:pt idx="0">
                  <c:v>Annual Cash Flow</c:v>
                </c:pt>
              </c:strCache>
            </c:strRef>
          </c:tx>
          <c:invertIfNegative val="0"/>
          <c:cat>
            <c:numRef>
              <c:f>'3. Solar w Shading'!$L$7:$AP$7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'3. Solar w Shading'!$L$47:$AP$47</c:f>
              <c:numCache>
                <c:formatCode>"$"#,##0</c:formatCode>
                <c:ptCount val="31"/>
                <c:pt idx="0">
                  <c:v>-400000</c:v>
                </c:pt>
                <c:pt idx="1">
                  <c:v>49498.740000000005</c:v>
                </c:pt>
                <c:pt idx="2">
                  <c:v>49697.544441999999</c:v>
                </c:pt>
                <c:pt idx="3">
                  <c:v>49898.426613836848</c:v>
                </c:pt>
                <c:pt idx="4">
                  <c:v>50101.101183752922</c:v>
                </c:pt>
                <c:pt idx="5">
                  <c:v>50305.58292093702</c:v>
                </c:pt>
                <c:pt idx="6">
                  <c:v>50511.886695856701</c:v>
                </c:pt>
                <c:pt idx="7">
                  <c:v>50720.027480583907</c:v>
                </c:pt>
                <c:pt idx="8">
                  <c:v>50930.020349113591</c:v>
                </c:pt>
                <c:pt idx="9">
                  <c:v>51141.8804776752</c:v>
                </c:pt>
                <c:pt idx="10">
                  <c:v>51355.623145036734</c:v>
                </c:pt>
                <c:pt idx="11">
                  <c:v>51571.263732801148</c:v>
                </c:pt>
                <c:pt idx="12">
                  <c:v>51788.817725694869</c:v>
                </c:pt>
                <c:pt idx="13">
                  <c:v>52008.300711848242</c:v>
                </c:pt>
                <c:pt idx="14">
                  <c:v>52229.728383067588</c:v>
                </c:pt>
                <c:pt idx="15">
                  <c:v>52453.116535098583</c:v>
                </c:pt>
                <c:pt idx="16">
                  <c:v>52678.481067880923</c:v>
                </c:pt>
                <c:pt idx="17">
                  <c:v>52905.837985793703</c:v>
                </c:pt>
                <c:pt idx="18">
                  <c:v>53135.203397891477</c:v>
                </c:pt>
                <c:pt idx="19">
                  <c:v>53366.59351813067</c:v>
                </c:pt>
                <c:pt idx="20">
                  <c:v>53600.024665585937</c:v>
                </c:pt>
                <c:pt idx="21">
                  <c:v>53835.513264656525</c:v>
                </c:pt>
                <c:pt idx="22">
                  <c:v>54073.075845261868</c:v>
                </c:pt>
                <c:pt idx="23">
                  <c:v>54312.729043026506</c:v>
                </c:pt>
                <c:pt idx="24">
                  <c:v>54554.489599453977</c:v>
                </c:pt>
                <c:pt idx="25">
                  <c:v>54798.374362089118</c:v>
                </c:pt>
                <c:pt idx="26">
                  <c:v>55044.400284668831</c:v>
                </c:pt>
                <c:pt idx="27">
                  <c:v>55292.584427260677</c:v>
                </c:pt>
                <c:pt idx="28">
                  <c:v>55542.943956389237</c:v>
                </c:pt>
                <c:pt idx="29">
                  <c:v>55795.496145149729</c:v>
                </c:pt>
                <c:pt idx="30">
                  <c:v>56050.258373308578</c:v>
                </c:pt>
              </c:numCache>
            </c:numRef>
          </c:val>
        </c:ser>
        <c:dLbls>
          <c:showLegendKey val="0"/>
          <c:showVal val="0"/>
          <c:showCatName val="0"/>
          <c:showSerName val="0"/>
          <c:showPercent val="0"/>
          <c:showBubbleSize val="0"/>
        </c:dLbls>
        <c:gapWidth val="150"/>
        <c:axId val="239648768"/>
        <c:axId val="222079808"/>
      </c:barChart>
      <c:lineChart>
        <c:grouping val="standard"/>
        <c:varyColors val="0"/>
        <c:ser>
          <c:idx val="1"/>
          <c:order val="1"/>
          <c:tx>
            <c:strRef>
              <c:f>'3. Solar w Shading'!$K$48</c:f>
              <c:strCache>
                <c:ptCount val="1"/>
                <c:pt idx="0">
                  <c:v>Cumulative Cash Flow</c:v>
                </c:pt>
              </c:strCache>
            </c:strRef>
          </c:tx>
          <c:spPr>
            <a:ln w="38100">
              <a:solidFill>
                <a:schemeClr val="accent3">
                  <a:lumMod val="75000"/>
                </a:schemeClr>
              </a:solidFill>
            </a:ln>
          </c:spPr>
          <c:marker>
            <c:symbol val="none"/>
          </c:marker>
          <c:cat>
            <c:numRef>
              <c:f>'3. Solar w Shading'!$M$7:$AP$7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'3. Solar w Shading'!$L$48:$AP$48</c:f>
              <c:numCache>
                <c:formatCode>"$"#,##0</c:formatCode>
                <c:ptCount val="31"/>
                <c:pt idx="0">
                  <c:v>-400000</c:v>
                </c:pt>
                <c:pt idx="1">
                  <c:v>-350501.26</c:v>
                </c:pt>
                <c:pt idx="2">
                  <c:v>-300803.71555800003</c:v>
                </c:pt>
                <c:pt idx="3">
                  <c:v>-250905.28894416319</c:v>
                </c:pt>
                <c:pt idx="4">
                  <c:v>-200804.18776041025</c:v>
                </c:pt>
                <c:pt idx="5">
                  <c:v>-150498.60483947324</c:v>
                </c:pt>
                <c:pt idx="6">
                  <c:v>-99986.718143616541</c:v>
                </c:pt>
                <c:pt idx="7">
                  <c:v>-49266.690663032634</c:v>
                </c:pt>
                <c:pt idx="8">
                  <c:v>1663.3296860809569</c:v>
                </c:pt>
                <c:pt idx="9">
                  <c:v>52805.210163756157</c:v>
                </c:pt>
                <c:pt idx="10">
                  <c:v>104160.83330879289</c:v>
                </c:pt>
                <c:pt idx="11">
                  <c:v>155732.09704159404</c:v>
                </c:pt>
                <c:pt idx="12">
                  <c:v>207520.91476728889</c:v>
                </c:pt>
                <c:pt idx="13">
                  <c:v>259529.21547913714</c:v>
                </c:pt>
                <c:pt idx="14">
                  <c:v>311758.94386220473</c:v>
                </c:pt>
                <c:pt idx="15">
                  <c:v>364212.06039730331</c:v>
                </c:pt>
                <c:pt idx="16">
                  <c:v>416890.54146518424</c:v>
                </c:pt>
                <c:pt idx="17">
                  <c:v>469796.37945097795</c:v>
                </c:pt>
                <c:pt idx="18">
                  <c:v>522931.58284886944</c:v>
                </c:pt>
                <c:pt idx="19">
                  <c:v>576298.17636700009</c:v>
                </c:pt>
                <c:pt idx="20">
                  <c:v>629898.20103258605</c:v>
                </c:pt>
                <c:pt idx="21">
                  <c:v>683733.71429724258</c:v>
                </c:pt>
                <c:pt idx="22">
                  <c:v>737806.7901425045</c:v>
                </c:pt>
                <c:pt idx="23">
                  <c:v>792119.51918553095</c:v>
                </c:pt>
                <c:pt idx="24">
                  <c:v>846674.00878498494</c:v>
                </c:pt>
                <c:pt idx="25">
                  <c:v>901472.38314707403</c:v>
                </c:pt>
                <c:pt idx="26">
                  <c:v>956516.78343174281</c:v>
                </c:pt>
                <c:pt idx="27">
                  <c:v>1011809.3678590035</c:v>
                </c:pt>
                <c:pt idx="28">
                  <c:v>1067352.3118153927</c:v>
                </c:pt>
                <c:pt idx="29">
                  <c:v>1123147.8079605424</c:v>
                </c:pt>
                <c:pt idx="30">
                  <c:v>1179198.0663338508</c:v>
                </c:pt>
              </c:numCache>
            </c:numRef>
          </c:val>
          <c:smooth val="0"/>
        </c:ser>
        <c:dLbls>
          <c:showLegendKey val="0"/>
          <c:showVal val="0"/>
          <c:showCatName val="0"/>
          <c:showSerName val="0"/>
          <c:showPercent val="0"/>
          <c:showBubbleSize val="0"/>
        </c:dLbls>
        <c:marker val="1"/>
        <c:smooth val="0"/>
        <c:axId val="239648768"/>
        <c:axId val="222079808"/>
      </c:lineChart>
      <c:catAx>
        <c:axId val="239648768"/>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22079808"/>
        <c:crosses val="autoZero"/>
        <c:auto val="1"/>
        <c:lblAlgn val="ctr"/>
        <c:lblOffset val="100"/>
        <c:tickLblSkip val="5"/>
        <c:noMultiLvlLbl val="0"/>
      </c:catAx>
      <c:valAx>
        <c:axId val="222079808"/>
        <c:scaling>
          <c:orientation val="minMax"/>
        </c:scaling>
        <c:delete val="0"/>
        <c:axPos val="l"/>
        <c:majorGridlines>
          <c:spPr>
            <a:ln>
              <a:solidFill>
                <a:schemeClr val="accent1">
                  <a:alpha val="30000"/>
                </a:schemeClr>
              </a:solidFill>
            </a:ln>
          </c:spPr>
        </c:majorGridlines>
        <c:numFmt formatCode="&quot;$&quot;#,##0.0" sourceLinked="0"/>
        <c:majorTickMark val="out"/>
        <c:minorTickMark val="none"/>
        <c:tickLblPos val="nextTo"/>
        <c:crossAx val="239648768"/>
        <c:crosses val="autoZero"/>
        <c:crossBetween val="between"/>
        <c:dispUnits>
          <c:builtInUnit val="millions"/>
          <c:dispUnitsLbl>
            <c:layout/>
          </c:dispUnitsLbl>
        </c:dispUnits>
      </c:valAx>
    </c:plotArea>
    <c:legend>
      <c:legendPos val="r"/>
      <c:layout>
        <c:manualLayout>
          <c:xMode val="edge"/>
          <c:yMode val="edge"/>
          <c:x val="0.24674890638670166"/>
          <c:y val="6.9060586176727903E-2"/>
          <c:w val="0.50604217617143998"/>
          <c:h val="0.2356728020485942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5149536927302"/>
          <c:y val="5.1400554097404488E-2"/>
          <c:w val="0.85916069697540021"/>
          <c:h val="0.82696425236427917"/>
        </c:manualLayout>
      </c:layout>
      <c:barChart>
        <c:barDir val="col"/>
        <c:grouping val="clustered"/>
        <c:varyColors val="0"/>
        <c:ser>
          <c:idx val="0"/>
          <c:order val="0"/>
          <c:tx>
            <c:strRef>
              <c:f>'4. Solar plus Storage'!$K$47</c:f>
              <c:strCache>
                <c:ptCount val="1"/>
                <c:pt idx="0">
                  <c:v>Annual Cash Flow</c:v>
                </c:pt>
              </c:strCache>
            </c:strRef>
          </c:tx>
          <c:invertIfNegative val="0"/>
          <c:cat>
            <c:numRef>
              <c:f>'4. Solar plus Storage'!$L$7:$AP$7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'4. Solar plus Storage'!$L$47:$AP$47</c:f>
              <c:numCache>
                <c:formatCode>"$"#,##0</c:formatCode>
                <c:ptCount val="31"/>
                <c:pt idx="0">
                  <c:v>-376000</c:v>
                </c:pt>
                <c:pt idx="1">
                  <c:v>22987.532000000003</c:v>
                </c:pt>
                <c:pt idx="2">
                  <c:v>23210.243321999998</c:v>
                </c:pt>
                <c:pt idx="3">
                  <c:v>23435.390977036845</c:v>
                </c:pt>
                <c:pt idx="4">
                  <c:v>23662.69501240092</c:v>
                </c:pt>
                <c:pt idx="5">
                  <c:v>23892.175657014745</c:v>
                </c:pt>
                <c:pt idx="6">
                  <c:v>24123.853322975589</c:v>
                </c:pt>
                <c:pt idx="7">
                  <c:v>24357.748607109577</c:v>
                </c:pt>
                <c:pt idx="8">
                  <c:v>24593.882292537142</c:v>
                </c:pt>
                <c:pt idx="9">
                  <c:v>24832.275350250107</c:v>
                </c:pt>
                <c:pt idx="10">
                  <c:v>25072.948940700262</c:v>
                </c:pt>
                <c:pt idx="11">
                  <c:v>23466.263732801155</c:v>
                </c:pt>
                <c:pt idx="12">
                  <c:v>23683.817725694869</c:v>
                </c:pt>
                <c:pt idx="13">
                  <c:v>23903.300711848249</c:v>
                </c:pt>
                <c:pt idx="14">
                  <c:v>24124.728383067584</c:v>
                </c:pt>
                <c:pt idx="15">
                  <c:v>24348.116535098583</c:v>
                </c:pt>
                <c:pt idx="16">
                  <c:v>24573.481067880923</c:v>
                </c:pt>
                <c:pt idx="17">
                  <c:v>24800.837985793703</c:v>
                </c:pt>
                <c:pt idx="18">
                  <c:v>25030.203397891481</c:v>
                </c:pt>
                <c:pt idx="19">
                  <c:v>25261.593518130663</c:v>
                </c:pt>
                <c:pt idx="20">
                  <c:v>25495.024665585937</c:v>
                </c:pt>
                <c:pt idx="21">
                  <c:v>25730.513264656525</c:v>
                </c:pt>
                <c:pt idx="22">
                  <c:v>25968.075845261865</c:v>
                </c:pt>
                <c:pt idx="23">
                  <c:v>26207.729043026509</c:v>
                </c:pt>
                <c:pt idx="24">
                  <c:v>26449.48959945398</c:v>
                </c:pt>
                <c:pt idx="25">
                  <c:v>26693.374362089115</c:v>
                </c:pt>
                <c:pt idx="26">
                  <c:v>26939.400284668831</c:v>
                </c:pt>
                <c:pt idx="27">
                  <c:v>27187.584427260677</c:v>
                </c:pt>
                <c:pt idx="28">
                  <c:v>27437.943956389237</c:v>
                </c:pt>
                <c:pt idx="29">
                  <c:v>27690.496145149729</c:v>
                </c:pt>
                <c:pt idx="30">
                  <c:v>27945.258373308578</c:v>
                </c:pt>
              </c:numCache>
            </c:numRef>
          </c:val>
        </c:ser>
        <c:dLbls>
          <c:showLegendKey val="0"/>
          <c:showVal val="0"/>
          <c:showCatName val="0"/>
          <c:showSerName val="0"/>
          <c:showPercent val="0"/>
          <c:showBubbleSize val="0"/>
        </c:dLbls>
        <c:gapWidth val="150"/>
        <c:axId val="239652352"/>
        <c:axId val="222084416"/>
      </c:barChart>
      <c:lineChart>
        <c:grouping val="standard"/>
        <c:varyColors val="0"/>
        <c:ser>
          <c:idx val="1"/>
          <c:order val="1"/>
          <c:tx>
            <c:strRef>
              <c:f>'4. Solar plus Storage'!$K$48</c:f>
              <c:strCache>
                <c:ptCount val="1"/>
                <c:pt idx="0">
                  <c:v>Cumulative Cash Flow</c:v>
                </c:pt>
              </c:strCache>
            </c:strRef>
          </c:tx>
          <c:spPr>
            <a:ln w="38100">
              <a:solidFill>
                <a:schemeClr val="accent3">
                  <a:lumMod val="75000"/>
                </a:schemeClr>
              </a:solidFill>
            </a:ln>
          </c:spPr>
          <c:marker>
            <c:symbol val="none"/>
          </c:marker>
          <c:cat>
            <c:numRef>
              <c:f>'4. Solar plus Storage'!$L$7:$AP$7</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'4. Solar plus Storage'!$L$48:$AP$48</c:f>
              <c:numCache>
                <c:formatCode>"$"#,##0</c:formatCode>
                <c:ptCount val="31"/>
                <c:pt idx="0">
                  <c:v>-376000</c:v>
                </c:pt>
                <c:pt idx="1">
                  <c:v>-353012.46799999999</c:v>
                </c:pt>
                <c:pt idx="2">
                  <c:v>-329802.22467799997</c:v>
                </c:pt>
                <c:pt idx="3">
                  <c:v>-306366.83370096312</c:v>
                </c:pt>
                <c:pt idx="4">
                  <c:v>-282704.13868856221</c:v>
                </c:pt>
                <c:pt idx="5">
                  <c:v>-258811.96303154746</c:v>
                </c:pt>
                <c:pt idx="6">
                  <c:v>-234688.10970857186</c:v>
                </c:pt>
                <c:pt idx="7">
                  <c:v>-210330.36110146227</c:v>
                </c:pt>
                <c:pt idx="8">
                  <c:v>-185736.47880892514</c:v>
                </c:pt>
                <c:pt idx="9">
                  <c:v>-160904.20345867504</c:v>
                </c:pt>
                <c:pt idx="10">
                  <c:v>-135831.25451797477</c:v>
                </c:pt>
                <c:pt idx="11">
                  <c:v>-112364.99078517361</c:v>
                </c:pt>
                <c:pt idx="12">
                  <c:v>-88681.173059478737</c:v>
                </c:pt>
                <c:pt idx="13">
                  <c:v>-64777.872347630488</c:v>
                </c:pt>
                <c:pt idx="14">
                  <c:v>-40653.1439645629</c:v>
                </c:pt>
                <c:pt idx="15">
                  <c:v>-16305.027429464317</c:v>
                </c:pt>
                <c:pt idx="16">
                  <c:v>8268.4536384166058</c:v>
                </c:pt>
                <c:pt idx="17">
                  <c:v>33069.291624210309</c:v>
                </c:pt>
                <c:pt idx="18">
                  <c:v>58099.495022101793</c:v>
                </c:pt>
                <c:pt idx="19">
                  <c:v>83361.088540232449</c:v>
                </c:pt>
                <c:pt idx="20">
                  <c:v>108856.11320581839</c:v>
                </c:pt>
                <c:pt idx="21">
                  <c:v>134586.6264704749</c:v>
                </c:pt>
                <c:pt idx="22">
                  <c:v>160554.70231573677</c:v>
                </c:pt>
                <c:pt idx="23">
                  <c:v>186762.43135876328</c:v>
                </c:pt>
                <c:pt idx="24">
                  <c:v>213211.92095821726</c:v>
                </c:pt>
                <c:pt idx="25">
                  <c:v>239905.29532030638</c:v>
                </c:pt>
                <c:pt idx="26">
                  <c:v>266844.69560497522</c:v>
                </c:pt>
                <c:pt idx="27">
                  <c:v>294032.2800322359</c:v>
                </c:pt>
                <c:pt idx="28">
                  <c:v>321470.2239886251</c:v>
                </c:pt>
                <c:pt idx="29">
                  <c:v>349160.72013377486</c:v>
                </c:pt>
                <c:pt idx="30">
                  <c:v>377105.97850708343</c:v>
                </c:pt>
              </c:numCache>
            </c:numRef>
          </c:val>
          <c:smooth val="0"/>
        </c:ser>
        <c:dLbls>
          <c:showLegendKey val="0"/>
          <c:showVal val="0"/>
          <c:showCatName val="0"/>
          <c:showSerName val="0"/>
          <c:showPercent val="0"/>
          <c:showBubbleSize val="0"/>
        </c:dLbls>
        <c:marker val="1"/>
        <c:smooth val="0"/>
        <c:axId val="239652352"/>
        <c:axId val="222084416"/>
      </c:lineChart>
      <c:catAx>
        <c:axId val="239652352"/>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222084416"/>
        <c:crosses val="autoZero"/>
        <c:auto val="1"/>
        <c:lblAlgn val="ctr"/>
        <c:lblOffset val="100"/>
        <c:tickLblSkip val="5"/>
        <c:noMultiLvlLbl val="0"/>
      </c:catAx>
      <c:valAx>
        <c:axId val="222084416"/>
        <c:scaling>
          <c:orientation val="minMax"/>
        </c:scaling>
        <c:delete val="0"/>
        <c:axPos val="l"/>
        <c:majorGridlines>
          <c:spPr>
            <a:ln>
              <a:solidFill>
                <a:schemeClr val="accent1">
                  <a:alpha val="30000"/>
                </a:schemeClr>
              </a:solidFill>
            </a:ln>
          </c:spPr>
        </c:majorGridlines>
        <c:numFmt formatCode="&quot;$&quot;#,##0.0" sourceLinked="0"/>
        <c:majorTickMark val="out"/>
        <c:minorTickMark val="none"/>
        <c:tickLblPos val="nextTo"/>
        <c:crossAx val="239652352"/>
        <c:crosses val="autoZero"/>
        <c:crossBetween val="between"/>
        <c:dispUnits>
          <c:builtInUnit val="millions"/>
          <c:dispUnitsLbl>
            <c:layout/>
          </c:dispUnitsLbl>
        </c:dispUnits>
      </c:valAx>
    </c:plotArea>
    <c:legend>
      <c:legendPos val="r"/>
      <c:layout>
        <c:manualLayout>
          <c:xMode val="edge"/>
          <c:yMode val="edge"/>
          <c:x val="0.24674890638670166"/>
          <c:y val="6.9060586176727903E-2"/>
          <c:w val="0.50604217617143998"/>
          <c:h val="0.23567280204859428"/>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GoSolarTexas.org" TargetMode="External"/><Relationship Id="rId1" Type="http://schemas.openxmlformats.org/officeDocument/2006/relationships/image" Target="../media/image1.gif"/><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chart" Target="../charts/chart1.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chart" Target="../charts/chart4.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38103</xdr:colOff>
      <xdr:row>10</xdr:row>
      <xdr:rowOff>23814</xdr:rowOff>
    </xdr:from>
    <xdr:to>
      <xdr:col>3</xdr:col>
      <xdr:colOff>200025</xdr:colOff>
      <xdr:row>11</xdr:row>
      <xdr:rowOff>171450</xdr:rowOff>
    </xdr:to>
    <xdr:cxnSp macro="">
      <xdr:nvCxnSpPr>
        <xdr:cNvPr id="5" name="Straight Arrow Connector 4"/>
        <xdr:cNvCxnSpPr/>
      </xdr:nvCxnSpPr>
      <xdr:spPr>
        <a:xfrm flipH="1" flipV="1">
          <a:off x="2466978" y="3938589"/>
          <a:ext cx="161922" cy="338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561975</xdr:colOff>
      <xdr:row>0</xdr:row>
      <xdr:rowOff>66675</xdr:rowOff>
    </xdr:from>
    <xdr:to>
      <xdr:col>13</xdr:col>
      <xdr:colOff>781050</xdr:colOff>
      <xdr:row>1</xdr:row>
      <xdr:rowOff>117475</xdr:rowOff>
    </xdr:to>
    <xdr:pic>
      <xdr:nvPicPr>
        <xdr:cNvPr id="21" name="Picture 20" descr="Frontier Associcates 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1550" y="66675"/>
          <a:ext cx="1838325" cy="346075"/>
        </a:xfrm>
        <a:prstGeom prst="rect">
          <a:avLst/>
        </a:prstGeom>
        <a:noFill/>
        <a:ln>
          <a:noFill/>
        </a:ln>
      </xdr:spPr>
    </xdr:pic>
    <xdr:clientData/>
  </xdr:twoCellAnchor>
  <xdr:twoCellAnchor>
    <xdr:from>
      <xdr:col>3</xdr:col>
      <xdr:colOff>323850</xdr:colOff>
      <xdr:row>10</xdr:row>
      <xdr:rowOff>57150</xdr:rowOff>
    </xdr:from>
    <xdr:to>
      <xdr:col>3</xdr:col>
      <xdr:colOff>742950</xdr:colOff>
      <xdr:row>12</xdr:row>
      <xdr:rowOff>28575</xdr:rowOff>
    </xdr:to>
    <xdr:cxnSp macro="">
      <xdr:nvCxnSpPr>
        <xdr:cNvPr id="23" name="Straight Arrow Connector 22"/>
        <xdr:cNvCxnSpPr/>
      </xdr:nvCxnSpPr>
      <xdr:spPr>
        <a:xfrm flipV="1">
          <a:off x="2752725" y="3971925"/>
          <a:ext cx="419100"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666750</xdr:colOff>
      <xdr:row>13</xdr:row>
      <xdr:rowOff>57150</xdr:rowOff>
    </xdr:from>
    <xdr:to>
      <xdr:col>13</xdr:col>
      <xdr:colOff>161925</xdr:colOff>
      <xdr:row>16</xdr:row>
      <xdr:rowOff>57150</xdr:rowOff>
    </xdr:to>
    <xdr:pic>
      <xdr:nvPicPr>
        <xdr:cNvPr id="26" name="Picture 25" descr="Go Solar Texas">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86700" y="4543425"/>
          <a:ext cx="192405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18</xdr:row>
      <xdr:rowOff>68668</xdr:rowOff>
    </xdr:from>
    <xdr:to>
      <xdr:col>5</xdr:col>
      <xdr:colOff>704850</xdr:colOff>
      <xdr:row>18</xdr:row>
      <xdr:rowOff>647466</xdr:rowOff>
    </xdr:to>
    <xdr:pic>
      <xdr:nvPicPr>
        <xdr:cNvPr id="2" name="Picture 1"/>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3724275" y="7917268"/>
          <a:ext cx="590550" cy="578798"/>
        </a:xfrm>
        <a:prstGeom prst="rect">
          <a:avLst/>
        </a:prstGeom>
      </xdr:spPr>
    </xdr:pic>
    <xdr:clientData/>
  </xdr:twoCellAnchor>
  <xdr:twoCellAnchor editAs="oneCell">
    <xdr:from>
      <xdr:col>5</xdr:col>
      <xdr:colOff>131139</xdr:colOff>
      <xdr:row>17</xdr:row>
      <xdr:rowOff>37930</xdr:rowOff>
    </xdr:from>
    <xdr:to>
      <xdr:col>5</xdr:col>
      <xdr:colOff>666750</xdr:colOff>
      <xdr:row>17</xdr:row>
      <xdr:rowOff>733425</xdr:rowOff>
    </xdr:to>
    <xdr:pic>
      <xdr:nvPicPr>
        <xdr:cNvPr id="4" name="Picture 3"/>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741114" y="5886280"/>
          <a:ext cx="535611" cy="695495"/>
        </a:xfrm>
        <a:prstGeom prst="rect">
          <a:avLst/>
        </a:prstGeom>
      </xdr:spPr>
    </xdr:pic>
    <xdr:clientData/>
  </xdr:twoCellAnchor>
  <xdr:twoCellAnchor editAs="oneCell">
    <xdr:from>
      <xdr:col>5</xdr:col>
      <xdr:colOff>55687</xdr:colOff>
      <xdr:row>10</xdr:row>
      <xdr:rowOff>38101</xdr:rowOff>
    </xdr:from>
    <xdr:to>
      <xdr:col>5</xdr:col>
      <xdr:colOff>742951</xdr:colOff>
      <xdr:row>13</xdr:row>
      <xdr:rowOff>133350</xdr:rowOff>
    </xdr:to>
    <xdr:pic>
      <xdr:nvPicPr>
        <xdr:cNvPr id="7" name="Picture 6"/>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3665662" y="4019551"/>
          <a:ext cx="687264"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12</xdr:row>
      <xdr:rowOff>38101</xdr:rowOff>
    </xdr:from>
    <xdr:to>
      <xdr:col>8</xdr:col>
      <xdr:colOff>1943099</xdr:colOff>
      <xdr:row>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1571624</xdr:colOff>
      <xdr:row>24</xdr:row>
      <xdr:rowOff>76201</xdr:rowOff>
    </xdr:from>
    <xdr:to>
      <xdr:col>8</xdr:col>
      <xdr:colOff>1906463</xdr:colOff>
      <xdr:row>26</xdr:row>
      <xdr:rowOff>77195</xdr:rowOff>
    </xdr:to>
    <xdr:pic>
      <xdr:nvPicPr>
        <xdr:cNvPr id="4" name="Picture 3"/>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9677399" y="4352926"/>
          <a:ext cx="334839" cy="324844"/>
        </a:xfrm>
        <a:prstGeom prst="rect">
          <a:avLst/>
        </a:prstGeom>
      </xdr:spPr>
    </xdr:pic>
    <xdr:clientData/>
  </xdr:twoCellAnchor>
  <xdr:twoCellAnchor editAs="oneCell">
    <xdr:from>
      <xdr:col>8</xdr:col>
      <xdr:colOff>1585989</xdr:colOff>
      <xdr:row>32</xdr:row>
      <xdr:rowOff>47626</xdr:rowOff>
    </xdr:from>
    <xdr:to>
      <xdr:col>8</xdr:col>
      <xdr:colOff>1850061</xdr:colOff>
      <xdr:row>34</xdr:row>
      <xdr:rowOff>66676</xdr:rowOff>
    </xdr:to>
    <xdr:pic>
      <xdr:nvPicPr>
        <xdr:cNvPr id="5" name="Picture 4"/>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691764" y="5619751"/>
          <a:ext cx="264072" cy="342900"/>
        </a:xfrm>
        <a:prstGeom prst="rect">
          <a:avLst/>
        </a:prstGeom>
      </xdr:spPr>
    </xdr:pic>
    <xdr:clientData/>
  </xdr:twoCellAnchor>
  <xdr:twoCellAnchor editAs="oneCell">
    <xdr:from>
      <xdr:col>8</xdr:col>
      <xdr:colOff>1546580</xdr:colOff>
      <xdr:row>38</xdr:row>
      <xdr:rowOff>28575</xdr:rowOff>
    </xdr:from>
    <xdr:to>
      <xdr:col>8</xdr:col>
      <xdr:colOff>1847850</xdr:colOff>
      <xdr:row>40</xdr:row>
      <xdr:rowOff>0</xdr:rowOff>
    </xdr:to>
    <xdr:pic>
      <xdr:nvPicPr>
        <xdr:cNvPr id="6" name="Picture 5"/>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9652355" y="6572250"/>
          <a:ext cx="30127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12</xdr:row>
      <xdr:rowOff>9526</xdr:rowOff>
    </xdr:from>
    <xdr:to>
      <xdr:col>8</xdr:col>
      <xdr:colOff>1943099</xdr:colOff>
      <xdr:row>23</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1571624</xdr:colOff>
      <xdr:row>24</xdr:row>
      <xdr:rowOff>76201</xdr:rowOff>
    </xdr:from>
    <xdr:to>
      <xdr:col>8</xdr:col>
      <xdr:colOff>1905000</xdr:colOff>
      <xdr:row>26</xdr:row>
      <xdr:rowOff>77195</xdr:rowOff>
    </xdr:to>
    <xdr:pic>
      <xdr:nvPicPr>
        <xdr:cNvPr id="4" name="Picture 3"/>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9677399" y="4352926"/>
          <a:ext cx="333376" cy="324844"/>
        </a:xfrm>
        <a:prstGeom prst="rect">
          <a:avLst/>
        </a:prstGeom>
      </xdr:spPr>
    </xdr:pic>
    <xdr:clientData/>
  </xdr:twoCellAnchor>
  <xdr:twoCellAnchor editAs="oneCell">
    <xdr:from>
      <xdr:col>8</xdr:col>
      <xdr:colOff>1585989</xdr:colOff>
      <xdr:row>32</xdr:row>
      <xdr:rowOff>47626</xdr:rowOff>
    </xdr:from>
    <xdr:to>
      <xdr:col>8</xdr:col>
      <xdr:colOff>1866900</xdr:colOff>
      <xdr:row>34</xdr:row>
      <xdr:rowOff>66676</xdr:rowOff>
    </xdr:to>
    <xdr:pic>
      <xdr:nvPicPr>
        <xdr:cNvPr id="5" name="Picture 4"/>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691764" y="5619751"/>
          <a:ext cx="280911" cy="342900"/>
        </a:xfrm>
        <a:prstGeom prst="rect">
          <a:avLst/>
        </a:prstGeom>
      </xdr:spPr>
    </xdr:pic>
    <xdr:clientData/>
  </xdr:twoCellAnchor>
  <xdr:twoCellAnchor editAs="oneCell">
    <xdr:from>
      <xdr:col>8</xdr:col>
      <xdr:colOff>1546580</xdr:colOff>
      <xdr:row>38</xdr:row>
      <xdr:rowOff>28575</xdr:rowOff>
    </xdr:from>
    <xdr:to>
      <xdr:col>8</xdr:col>
      <xdr:colOff>1866900</xdr:colOff>
      <xdr:row>40</xdr:row>
      <xdr:rowOff>0</xdr:rowOff>
    </xdr:to>
    <xdr:pic>
      <xdr:nvPicPr>
        <xdr:cNvPr id="6" name="Picture 5"/>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9652355" y="6572250"/>
          <a:ext cx="320320" cy="295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28574</xdr:colOff>
      <xdr:row>12</xdr:row>
      <xdr:rowOff>9526</xdr:rowOff>
    </xdr:from>
    <xdr:to>
      <xdr:col>8</xdr:col>
      <xdr:colOff>1943099</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1571624</xdr:colOff>
      <xdr:row>24</xdr:row>
      <xdr:rowOff>76201</xdr:rowOff>
    </xdr:from>
    <xdr:to>
      <xdr:col>8</xdr:col>
      <xdr:colOff>1906463</xdr:colOff>
      <xdr:row>26</xdr:row>
      <xdr:rowOff>77195</xdr:rowOff>
    </xdr:to>
    <xdr:pic>
      <xdr:nvPicPr>
        <xdr:cNvPr id="3" name="Picture 2"/>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9677399" y="4352926"/>
          <a:ext cx="334839" cy="324844"/>
        </a:xfrm>
        <a:prstGeom prst="rect">
          <a:avLst/>
        </a:prstGeom>
      </xdr:spPr>
    </xdr:pic>
    <xdr:clientData/>
  </xdr:twoCellAnchor>
  <xdr:twoCellAnchor editAs="oneCell">
    <xdr:from>
      <xdr:col>8</xdr:col>
      <xdr:colOff>1585989</xdr:colOff>
      <xdr:row>32</xdr:row>
      <xdr:rowOff>47626</xdr:rowOff>
    </xdr:from>
    <xdr:to>
      <xdr:col>8</xdr:col>
      <xdr:colOff>1850061</xdr:colOff>
      <xdr:row>34</xdr:row>
      <xdr:rowOff>66676</xdr:rowOff>
    </xdr:to>
    <xdr:pic>
      <xdr:nvPicPr>
        <xdr:cNvPr id="4" name="Picture 3"/>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691764" y="5619751"/>
          <a:ext cx="264072" cy="342900"/>
        </a:xfrm>
        <a:prstGeom prst="rect">
          <a:avLst/>
        </a:prstGeom>
      </xdr:spPr>
    </xdr:pic>
    <xdr:clientData/>
  </xdr:twoCellAnchor>
  <xdr:twoCellAnchor editAs="oneCell">
    <xdr:from>
      <xdr:col>8</xdr:col>
      <xdr:colOff>1546580</xdr:colOff>
      <xdr:row>38</xdr:row>
      <xdr:rowOff>28575</xdr:rowOff>
    </xdr:from>
    <xdr:to>
      <xdr:col>8</xdr:col>
      <xdr:colOff>1847850</xdr:colOff>
      <xdr:row>40</xdr:row>
      <xdr:rowOff>0</xdr:rowOff>
    </xdr:to>
    <xdr:pic>
      <xdr:nvPicPr>
        <xdr:cNvPr id="5" name="Picture 4"/>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9652355" y="6572250"/>
          <a:ext cx="301270" cy="295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28574</xdr:colOff>
      <xdr:row>12</xdr:row>
      <xdr:rowOff>9526</xdr:rowOff>
    </xdr:from>
    <xdr:to>
      <xdr:col>8</xdr:col>
      <xdr:colOff>1943099</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1571624</xdr:colOff>
      <xdr:row>24</xdr:row>
      <xdr:rowOff>76201</xdr:rowOff>
    </xdr:from>
    <xdr:to>
      <xdr:col>8</xdr:col>
      <xdr:colOff>1906463</xdr:colOff>
      <xdr:row>26</xdr:row>
      <xdr:rowOff>77195</xdr:rowOff>
    </xdr:to>
    <xdr:pic>
      <xdr:nvPicPr>
        <xdr:cNvPr id="3" name="Picture 2"/>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9677399" y="4352926"/>
          <a:ext cx="334839" cy="324844"/>
        </a:xfrm>
        <a:prstGeom prst="rect">
          <a:avLst/>
        </a:prstGeom>
      </xdr:spPr>
    </xdr:pic>
    <xdr:clientData/>
  </xdr:twoCellAnchor>
  <xdr:twoCellAnchor editAs="oneCell">
    <xdr:from>
      <xdr:col>8</xdr:col>
      <xdr:colOff>1585989</xdr:colOff>
      <xdr:row>32</xdr:row>
      <xdr:rowOff>47626</xdr:rowOff>
    </xdr:from>
    <xdr:to>
      <xdr:col>8</xdr:col>
      <xdr:colOff>1850061</xdr:colOff>
      <xdr:row>34</xdr:row>
      <xdr:rowOff>66676</xdr:rowOff>
    </xdr:to>
    <xdr:pic>
      <xdr:nvPicPr>
        <xdr:cNvPr id="4" name="Picture 3"/>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691764" y="5619751"/>
          <a:ext cx="264072" cy="342900"/>
        </a:xfrm>
        <a:prstGeom prst="rect">
          <a:avLst/>
        </a:prstGeom>
      </xdr:spPr>
    </xdr:pic>
    <xdr:clientData/>
  </xdr:twoCellAnchor>
  <xdr:twoCellAnchor editAs="oneCell">
    <xdr:from>
      <xdr:col>8</xdr:col>
      <xdr:colOff>1546580</xdr:colOff>
      <xdr:row>38</xdr:row>
      <xdr:rowOff>28575</xdr:rowOff>
    </xdr:from>
    <xdr:to>
      <xdr:col>8</xdr:col>
      <xdr:colOff>1847850</xdr:colOff>
      <xdr:row>40</xdr:row>
      <xdr:rowOff>0</xdr:rowOff>
    </xdr:to>
    <xdr:pic>
      <xdr:nvPicPr>
        <xdr:cNvPr id="5" name="Picture 4"/>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9652355" y="6572250"/>
          <a:ext cx="301270"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osolartexa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nrel.gov/analysis/jedi/" TargetMode="External"/><Relationship Id="rId7" Type="http://schemas.openxmlformats.org/officeDocument/2006/relationships/drawing" Target="../drawings/drawing2.xml"/><Relationship Id="rId2" Type="http://schemas.openxmlformats.org/officeDocument/2006/relationships/hyperlink" Target="https://www.epa.gov/energy/power-profiler" TargetMode="External"/><Relationship Id="rId1" Type="http://schemas.openxmlformats.org/officeDocument/2006/relationships/hyperlink" Target="https://www.epa.gov/energy/greenhouse-gas-equivalencies-calculator" TargetMode="External"/><Relationship Id="rId6" Type="http://schemas.openxmlformats.org/officeDocument/2006/relationships/printerSettings" Target="../printerSettings/printerSettings2.bin"/><Relationship Id="rId5" Type="http://schemas.openxmlformats.org/officeDocument/2006/relationships/hyperlink" Target="http://www.icecalculator.com/" TargetMode="External"/><Relationship Id="rId4" Type="http://schemas.openxmlformats.org/officeDocument/2006/relationships/hyperlink" Target="http://pvwatts.nrel.gov/"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nrel.gov/analysis/jedi/" TargetMode="External"/><Relationship Id="rId7" Type="http://schemas.openxmlformats.org/officeDocument/2006/relationships/drawing" Target="../drawings/drawing3.xml"/><Relationship Id="rId2" Type="http://schemas.openxmlformats.org/officeDocument/2006/relationships/hyperlink" Target="https://www.epa.gov/energy/power-profiler" TargetMode="External"/><Relationship Id="rId1" Type="http://schemas.openxmlformats.org/officeDocument/2006/relationships/hyperlink" Target="https://www.epa.gov/energy/greenhouse-gas-equivalencies-calculator" TargetMode="External"/><Relationship Id="rId6" Type="http://schemas.openxmlformats.org/officeDocument/2006/relationships/printerSettings" Target="../printerSettings/printerSettings3.bin"/><Relationship Id="rId5" Type="http://schemas.openxmlformats.org/officeDocument/2006/relationships/hyperlink" Target="http://pvwatts.nrel.gov/" TargetMode="External"/><Relationship Id="rId4" Type="http://schemas.openxmlformats.org/officeDocument/2006/relationships/hyperlink" Target="http://www.icecalculator.com/" TargetMode="Externa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nrel.gov/analysis/jedi/" TargetMode="External"/><Relationship Id="rId7" Type="http://schemas.openxmlformats.org/officeDocument/2006/relationships/drawing" Target="../drawings/drawing4.xml"/><Relationship Id="rId2" Type="http://schemas.openxmlformats.org/officeDocument/2006/relationships/hyperlink" Target="https://www.epa.gov/energy/power-profiler" TargetMode="External"/><Relationship Id="rId1" Type="http://schemas.openxmlformats.org/officeDocument/2006/relationships/hyperlink" Target="https://www.epa.gov/energy/greenhouse-gas-equivalencies-calculator" TargetMode="External"/><Relationship Id="rId6" Type="http://schemas.openxmlformats.org/officeDocument/2006/relationships/printerSettings" Target="../printerSettings/printerSettings4.bin"/><Relationship Id="rId5" Type="http://schemas.openxmlformats.org/officeDocument/2006/relationships/hyperlink" Target="http://pvwatts.nrel.gov/" TargetMode="External"/><Relationship Id="rId4" Type="http://schemas.openxmlformats.org/officeDocument/2006/relationships/hyperlink" Target="http://www.icecalculator.com/" TargetMode="Externa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nrel.gov/analysis/jedi/" TargetMode="External"/><Relationship Id="rId7" Type="http://schemas.openxmlformats.org/officeDocument/2006/relationships/drawing" Target="../drawings/drawing5.xml"/><Relationship Id="rId2" Type="http://schemas.openxmlformats.org/officeDocument/2006/relationships/hyperlink" Target="https://www.epa.gov/energy/power-profiler" TargetMode="External"/><Relationship Id="rId1" Type="http://schemas.openxmlformats.org/officeDocument/2006/relationships/hyperlink" Target="https://www.epa.gov/energy/greenhouse-gas-equivalencies-calculator" TargetMode="External"/><Relationship Id="rId6" Type="http://schemas.openxmlformats.org/officeDocument/2006/relationships/printerSettings" Target="../printerSettings/printerSettings5.bin"/><Relationship Id="rId5" Type="http://schemas.openxmlformats.org/officeDocument/2006/relationships/hyperlink" Target="http://pvwatts.nrel.gov/" TargetMode="External"/><Relationship Id="rId4" Type="http://schemas.openxmlformats.org/officeDocument/2006/relationships/hyperlink" Target="http://www.icecalculator.com/" TargetMode="External"/><Relationship Id="rId9"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tabSelected="1" zoomScaleNormal="100" workbookViewId="0">
      <selection activeCell="N15" sqref="N15"/>
    </sheetView>
  </sheetViews>
  <sheetFormatPr defaultRowHeight="15" x14ac:dyDescent="0.25"/>
  <cols>
    <col min="1" max="4" width="12.140625" customWidth="1"/>
    <col min="5" max="5" width="5.5703125" customWidth="1"/>
    <col min="6" max="9" width="12.140625" customWidth="1"/>
    <col min="10" max="10" width="5.5703125" customWidth="1"/>
    <col min="11" max="14" width="12.140625" customWidth="1"/>
  </cols>
  <sheetData>
    <row r="1" spans="1:14" ht="23.25" x14ac:dyDescent="0.35">
      <c r="A1" s="10" t="s">
        <v>186</v>
      </c>
    </row>
    <row r="2" spans="1:14" ht="18.75" x14ac:dyDescent="0.3">
      <c r="A2" s="93" t="s">
        <v>196</v>
      </c>
    </row>
    <row r="4" spans="1:14" ht="57" customHeight="1" x14ac:dyDescent="0.25">
      <c r="A4" s="115" t="s">
        <v>190</v>
      </c>
      <c r="B4" s="115"/>
      <c r="C4" s="115"/>
      <c r="D4" s="115"/>
      <c r="E4" s="115"/>
      <c r="F4" s="115"/>
      <c r="G4" s="115"/>
      <c r="H4" s="115"/>
      <c r="I4" s="115"/>
      <c r="J4" s="115"/>
      <c r="K4" s="115"/>
      <c r="L4" s="115"/>
      <c r="M4" s="115"/>
      <c r="N4" s="115"/>
    </row>
    <row r="5" spans="1:14" ht="54.75" customHeight="1" x14ac:dyDescent="0.25">
      <c r="A5" s="121" t="s">
        <v>195</v>
      </c>
      <c r="B5" s="121"/>
      <c r="C5" s="121"/>
      <c r="D5" s="121"/>
      <c r="E5" s="121"/>
      <c r="F5" s="121"/>
      <c r="G5" s="121"/>
      <c r="H5" s="121"/>
      <c r="I5" s="121"/>
      <c r="J5" s="121"/>
      <c r="K5" s="121"/>
      <c r="L5" s="121"/>
      <c r="M5" s="121"/>
      <c r="N5" s="121"/>
    </row>
    <row r="6" spans="1:14" x14ac:dyDescent="0.25">
      <c r="A6" s="115" t="s">
        <v>193</v>
      </c>
      <c r="B6" s="115"/>
      <c r="C6" s="115"/>
      <c r="D6" s="115"/>
      <c r="E6" s="115"/>
      <c r="F6" s="115"/>
      <c r="G6" s="115"/>
      <c r="H6" s="115"/>
      <c r="I6" s="115"/>
      <c r="J6" s="115"/>
      <c r="K6" s="115"/>
      <c r="L6" s="115"/>
      <c r="M6" s="115"/>
      <c r="N6" s="115"/>
    </row>
    <row r="8" spans="1:14" ht="21" x14ac:dyDescent="0.35">
      <c r="A8" s="57" t="s">
        <v>187</v>
      </c>
      <c r="F8" s="57" t="s">
        <v>188</v>
      </c>
      <c r="K8" s="57" t="s">
        <v>189</v>
      </c>
    </row>
    <row r="9" spans="1:14" ht="78.75" customHeight="1" x14ac:dyDescent="0.25">
      <c r="A9" s="116" t="s">
        <v>207</v>
      </c>
      <c r="B9" s="116"/>
      <c r="C9" s="116"/>
      <c r="D9" s="116"/>
      <c r="F9" s="113" t="s">
        <v>206</v>
      </c>
      <c r="G9" s="113"/>
      <c r="H9" s="113"/>
      <c r="I9" s="113"/>
      <c r="K9" s="118" t="s">
        <v>208</v>
      </c>
      <c r="L9" s="118"/>
      <c r="M9" s="118"/>
      <c r="N9" s="118"/>
    </row>
    <row r="10" spans="1:14" x14ac:dyDescent="0.25">
      <c r="A10" s="102"/>
      <c r="B10" s="102"/>
      <c r="C10" s="102" t="s">
        <v>1</v>
      </c>
      <c r="D10" s="102" t="s">
        <v>2</v>
      </c>
      <c r="F10" s="103"/>
      <c r="G10" s="103"/>
      <c r="H10" s="103"/>
      <c r="I10" s="103"/>
    </row>
    <row r="11" spans="1:14" ht="15" customHeight="1" x14ac:dyDescent="0.25">
      <c r="A11" s="117" t="s">
        <v>191</v>
      </c>
      <c r="B11" s="117"/>
      <c r="C11" s="95"/>
      <c r="D11" s="96"/>
      <c r="F11" s="104"/>
      <c r="G11" s="119" t="s">
        <v>203</v>
      </c>
      <c r="H11" s="119"/>
      <c r="I11" s="119"/>
    </row>
    <row r="12" spans="1:14" ht="15" customHeight="1" x14ac:dyDescent="0.25">
      <c r="A12" s="96"/>
      <c r="B12" s="96"/>
      <c r="C12" s="94"/>
      <c r="D12" s="94"/>
      <c r="F12" s="104"/>
      <c r="G12" s="119"/>
      <c r="H12" s="119"/>
      <c r="I12" s="119"/>
      <c r="K12" s="98"/>
      <c r="L12" s="114" t="s">
        <v>210</v>
      </c>
      <c r="M12" s="114"/>
      <c r="N12" s="98"/>
    </row>
    <row r="13" spans="1:14" ht="15" customHeight="1" x14ac:dyDescent="0.25">
      <c r="A13" s="97"/>
      <c r="B13" s="94"/>
      <c r="C13" s="122" t="s">
        <v>199</v>
      </c>
      <c r="D13" s="122"/>
      <c r="F13" s="104"/>
      <c r="G13" s="119"/>
      <c r="H13" s="119"/>
      <c r="I13" s="119"/>
      <c r="K13" s="98"/>
      <c r="L13" s="120" t="s">
        <v>209</v>
      </c>
      <c r="M13" s="120"/>
      <c r="N13" s="98"/>
    </row>
    <row r="14" spans="1:14" x14ac:dyDescent="0.25">
      <c r="A14" s="96"/>
      <c r="B14" s="94"/>
      <c r="C14" s="122" t="s">
        <v>192</v>
      </c>
      <c r="D14" s="122"/>
      <c r="F14" s="104"/>
      <c r="G14" s="119"/>
      <c r="H14" s="119"/>
      <c r="I14" s="119"/>
      <c r="L14" s="98"/>
      <c r="M14" s="98"/>
      <c r="N14" s="98"/>
    </row>
    <row r="15" spans="1:14" x14ac:dyDescent="0.25">
      <c r="A15" s="98"/>
      <c r="B15" s="99"/>
      <c r="C15" s="99"/>
      <c r="D15" s="99"/>
      <c r="F15" s="104"/>
      <c r="G15" s="119"/>
      <c r="H15" s="119"/>
      <c r="I15" s="119"/>
      <c r="K15" s="98"/>
      <c r="L15" s="98"/>
      <c r="M15" s="98"/>
      <c r="N15" s="98"/>
    </row>
    <row r="16" spans="1:14" x14ac:dyDescent="0.25">
      <c r="A16" s="98"/>
      <c r="B16" s="98"/>
      <c r="C16" s="99"/>
      <c r="D16" s="99"/>
      <c r="F16" s="104"/>
      <c r="G16" s="119"/>
      <c r="H16" s="119"/>
      <c r="I16" s="119"/>
      <c r="K16" s="98"/>
      <c r="L16" s="98"/>
      <c r="M16" s="98"/>
      <c r="N16" s="98"/>
    </row>
    <row r="17" spans="1:14" ht="57" customHeight="1" x14ac:dyDescent="0.25">
      <c r="A17" s="98"/>
      <c r="B17" s="98"/>
      <c r="C17" s="99"/>
      <c r="D17" s="99"/>
      <c r="F17" s="104"/>
      <c r="G17" s="119"/>
      <c r="H17" s="119"/>
      <c r="I17" s="119"/>
      <c r="K17" s="98"/>
      <c r="L17" s="98"/>
      <c r="M17" s="98"/>
      <c r="N17" s="98"/>
    </row>
    <row r="18" spans="1:14" ht="157.5" customHeight="1" x14ac:dyDescent="0.25">
      <c r="A18" s="98"/>
      <c r="B18" s="98"/>
      <c r="C18" s="98"/>
      <c r="D18" s="98"/>
      <c r="F18" s="105"/>
      <c r="G18" s="113" t="s">
        <v>204</v>
      </c>
      <c r="H18" s="113"/>
      <c r="I18" s="113"/>
      <c r="K18" s="98"/>
      <c r="L18" s="98"/>
      <c r="M18" s="98"/>
      <c r="N18" s="98"/>
    </row>
    <row r="19" spans="1:14" ht="132.75" customHeight="1" x14ac:dyDescent="0.25">
      <c r="A19" s="98"/>
      <c r="B19" s="98"/>
      <c r="C19" s="98"/>
      <c r="D19" s="98"/>
      <c r="F19" s="105"/>
      <c r="G19" s="113" t="s">
        <v>205</v>
      </c>
      <c r="H19" s="113"/>
      <c r="I19" s="113"/>
      <c r="K19" s="98"/>
      <c r="L19" s="98"/>
      <c r="M19" s="98"/>
      <c r="N19" s="98"/>
    </row>
    <row r="32" spans="1:14" ht="20.25" customHeight="1" x14ac:dyDescent="0.25"/>
    <row r="33" spans="6:9" s="100" customFormat="1" x14ac:dyDescent="0.25">
      <c r="F33" s="101"/>
      <c r="G33" s="101"/>
      <c r="H33" s="101"/>
      <c r="I33" s="101"/>
    </row>
    <row r="34" spans="6:9" s="100" customFormat="1" x14ac:dyDescent="0.25">
      <c r="F34" s="101"/>
      <c r="G34" s="101"/>
      <c r="H34" s="101"/>
      <c r="I34" s="101"/>
    </row>
    <row r="35" spans="6:9" s="100" customFormat="1" x14ac:dyDescent="0.25">
      <c r="F35" s="101"/>
      <c r="G35" s="101"/>
      <c r="H35" s="101"/>
      <c r="I35" s="101"/>
    </row>
  </sheetData>
  <mergeCells count="14">
    <mergeCell ref="G19:I19"/>
    <mergeCell ref="L12:M12"/>
    <mergeCell ref="A4:N4"/>
    <mergeCell ref="A6:N6"/>
    <mergeCell ref="A9:D9"/>
    <mergeCell ref="A11:B11"/>
    <mergeCell ref="K9:N9"/>
    <mergeCell ref="G11:I17"/>
    <mergeCell ref="L13:M13"/>
    <mergeCell ref="A5:N5"/>
    <mergeCell ref="C13:D13"/>
    <mergeCell ref="C14:D14"/>
    <mergeCell ref="F9:I9"/>
    <mergeCell ref="G18:I18"/>
  </mergeCells>
  <hyperlinks>
    <hyperlink ref="L13" r:id="rId1"/>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9"/>
  <sheetViews>
    <sheetView zoomScaleNormal="100" workbookViewId="0">
      <selection activeCell="A4" sqref="A4"/>
    </sheetView>
  </sheetViews>
  <sheetFormatPr defaultColWidth="9.140625" defaultRowHeight="12.75" x14ac:dyDescent="0.2"/>
  <cols>
    <col min="1" max="1" width="14.42578125" style="2" customWidth="1"/>
    <col min="2" max="2" width="28" style="2" customWidth="1"/>
    <col min="3" max="3" width="11" style="2" bestFit="1" customWidth="1"/>
    <col min="4" max="4" width="17.42578125" style="2" bestFit="1" customWidth="1"/>
    <col min="5" max="5" width="7.28515625" style="2" customWidth="1"/>
    <col min="6" max="6" width="12.7109375" style="2" customWidth="1"/>
    <col min="7" max="7" width="18" style="2" customWidth="1"/>
    <col min="8" max="8" width="12.7109375" style="2" customWidth="1"/>
    <col min="9" max="9" width="29.42578125" style="2" customWidth="1"/>
    <col min="10" max="10" width="8.85546875" style="2" customWidth="1"/>
    <col min="11" max="11" width="22.5703125" style="2" customWidth="1"/>
    <col min="12" max="12" width="10.5703125" style="2" customWidth="1"/>
    <col min="13" max="42" width="11.5703125" style="2" customWidth="1"/>
    <col min="43" max="16384" width="9.140625" style="2"/>
  </cols>
  <sheetData>
    <row r="1" spans="1:42" ht="26.25" x14ac:dyDescent="0.4">
      <c r="A1" s="79" t="s">
        <v>186</v>
      </c>
      <c r="D1" s="3"/>
      <c r="E1" s="3"/>
      <c r="F1" s="3"/>
      <c r="G1" s="3"/>
      <c r="H1" s="3"/>
    </row>
    <row r="2" spans="1:42" ht="21" x14ac:dyDescent="0.35">
      <c r="A2" s="56" t="s">
        <v>122</v>
      </c>
      <c r="D2" s="3"/>
      <c r="E2" s="3"/>
      <c r="F2" s="3"/>
      <c r="G2" s="3"/>
      <c r="H2" s="3"/>
    </row>
    <row r="3" spans="1:42" ht="10.5" customHeight="1" x14ac:dyDescent="0.35">
      <c r="A3" s="17"/>
      <c r="D3" s="3"/>
      <c r="E3" s="3"/>
      <c r="F3" s="3"/>
      <c r="G3" s="3"/>
      <c r="H3" s="3"/>
    </row>
    <row r="4" spans="1:42" ht="21" x14ac:dyDescent="0.35">
      <c r="A4" s="57" t="s">
        <v>187</v>
      </c>
      <c r="B4" s="57"/>
      <c r="C4" s="57"/>
      <c r="D4" s="57"/>
      <c r="E4" s="12"/>
      <c r="F4" s="57" t="s">
        <v>188</v>
      </c>
      <c r="G4" s="57"/>
      <c r="H4" s="12"/>
      <c r="I4" s="11"/>
      <c r="J4" s="11"/>
      <c r="K4" s="57" t="s">
        <v>189</v>
      </c>
    </row>
    <row r="5" spans="1:42" ht="15.75" x14ac:dyDescent="0.25">
      <c r="A5" s="16" t="s">
        <v>104</v>
      </c>
      <c r="B5" s="16" t="s">
        <v>167</v>
      </c>
      <c r="C5" s="16" t="s">
        <v>1</v>
      </c>
      <c r="D5" s="16" t="s">
        <v>2</v>
      </c>
      <c r="E5" s="14"/>
      <c r="F5" s="13" t="s">
        <v>104</v>
      </c>
      <c r="G5" s="13" t="s">
        <v>167</v>
      </c>
      <c r="H5" s="13" t="s">
        <v>1</v>
      </c>
      <c r="I5" s="13" t="s">
        <v>2</v>
      </c>
      <c r="J5" s="15"/>
    </row>
    <row r="6" spans="1:42" ht="12.75" customHeight="1" x14ac:dyDescent="0.25">
      <c r="A6" s="39" t="s">
        <v>101</v>
      </c>
      <c r="B6" s="21" t="s">
        <v>76</v>
      </c>
      <c r="C6" s="27">
        <v>200</v>
      </c>
      <c r="D6" s="21" t="s">
        <v>0</v>
      </c>
      <c r="F6" s="18" t="s">
        <v>119</v>
      </c>
      <c r="G6" s="58"/>
      <c r="H6" s="58"/>
      <c r="I6" s="58"/>
      <c r="K6" s="81"/>
      <c r="L6" s="82"/>
      <c r="M6" s="83" t="s">
        <v>4</v>
      </c>
      <c r="N6" s="84" t="s">
        <v>5</v>
      </c>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ht="12.75" customHeight="1" x14ac:dyDescent="0.25">
      <c r="A7" s="40"/>
      <c r="B7" s="21" t="s">
        <v>78</v>
      </c>
      <c r="C7" s="28">
        <v>0</v>
      </c>
      <c r="D7" s="21" t="s">
        <v>59</v>
      </c>
      <c r="F7" s="59" t="s">
        <v>177</v>
      </c>
      <c r="G7" s="60"/>
      <c r="H7" s="60"/>
      <c r="I7" s="60"/>
      <c r="K7" s="85"/>
      <c r="L7" s="86">
        <v>0</v>
      </c>
      <c r="M7" s="87">
        <v>1</v>
      </c>
      <c r="N7" s="87">
        <v>2</v>
      </c>
      <c r="O7" s="87">
        <v>3</v>
      </c>
      <c r="P7" s="87">
        <v>4</v>
      </c>
      <c r="Q7" s="87">
        <v>5</v>
      </c>
      <c r="R7" s="87">
        <v>6</v>
      </c>
      <c r="S7" s="87">
        <v>7</v>
      </c>
      <c r="T7" s="87">
        <v>8</v>
      </c>
      <c r="U7" s="87">
        <v>9</v>
      </c>
      <c r="V7" s="87">
        <v>10</v>
      </c>
      <c r="W7" s="87">
        <v>11</v>
      </c>
      <c r="X7" s="87">
        <v>12</v>
      </c>
      <c r="Y7" s="87">
        <v>13</v>
      </c>
      <c r="Z7" s="87">
        <v>14</v>
      </c>
      <c r="AA7" s="87">
        <v>15</v>
      </c>
      <c r="AB7" s="87">
        <v>16</v>
      </c>
      <c r="AC7" s="87">
        <v>17</v>
      </c>
      <c r="AD7" s="87">
        <v>18</v>
      </c>
      <c r="AE7" s="87">
        <v>19</v>
      </c>
      <c r="AF7" s="87">
        <v>20</v>
      </c>
      <c r="AG7" s="87">
        <v>21</v>
      </c>
      <c r="AH7" s="87">
        <v>22</v>
      </c>
      <c r="AI7" s="87">
        <v>23</v>
      </c>
      <c r="AJ7" s="87">
        <v>24</v>
      </c>
      <c r="AK7" s="87">
        <v>25</v>
      </c>
      <c r="AL7" s="87">
        <v>26</v>
      </c>
      <c r="AM7" s="87">
        <v>27</v>
      </c>
      <c r="AN7" s="87">
        <v>28</v>
      </c>
      <c r="AO7" s="87">
        <v>29</v>
      </c>
      <c r="AP7" s="87">
        <v>30</v>
      </c>
    </row>
    <row r="8" spans="1:42" ht="12.75" customHeight="1" x14ac:dyDescent="0.2">
      <c r="A8" s="41"/>
      <c r="B8" s="42" t="s">
        <v>78</v>
      </c>
      <c r="C8" s="48">
        <v>0</v>
      </c>
      <c r="D8" s="42" t="s">
        <v>58</v>
      </c>
      <c r="F8" s="61" t="s">
        <v>168</v>
      </c>
      <c r="G8" s="18" t="s">
        <v>55</v>
      </c>
      <c r="H8" s="62">
        <f>IFERROR(IRR(L47:AF47), "NA")</f>
        <v>2.8451569761178241E-2</v>
      </c>
      <c r="I8" s="18" t="s">
        <v>6</v>
      </c>
      <c r="K8" s="24" t="s">
        <v>92</v>
      </c>
      <c r="L8" s="24"/>
      <c r="M8" s="23">
        <f t="shared" ref="M8:AP8" si="0">$C21*(1-$C$22)^L$7</f>
        <v>299993</v>
      </c>
      <c r="N8" s="23">
        <f t="shared" si="0"/>
        <v>298493.03499999997</v>
      </c>
      <c r="O8" s="23">
        <f t="shared" si="0"/>
        <v>297000.56982500001</v>
      </c>
      <c r="P8" s="23">
        <f t="shared" si="0"/>
        <v>295515.566975875</v>
      </c>
      <c r="Q8" s="23">
        <f t="shared" si="0"/>
        <v>294037.98914099566</v>
      </c>
      <c r="R8" s="23">
        <f t="shared" si="0"/>
        <v>292567.79919529066</v>
      </c>
      <c r="S8" s="23">
        <f t="shared" si="0"/>
        <v>291104.96019931423</v>
      </c>
      <c r="T8" s="23">
        <f t="shared" si="0"/>
        <v>289649.43539831764</v>
      </c>
      <c r="U8" s="23">
        <f t="shared" si="0"/>
        <v>288201.18822132604</v>
      </c>
      <c r="V8" s="23">
        <f t="shared" si="0"/>
        <v>286760.18228021939</v>
      </c>
      <c r="W8" s="23">
        <f t="shared" si="0"/>
        <v>285326.38136881834</v>
      </c>
      <c r="X8" s="23">
        <f t="shared" si="0"/>
        <v>283899.74946197425</v>
      </c>
      <c r="Y8" s="23">
        <f t="shared" si="0"/>
        <v>282480.25071466441</v>
      </c>
      <c r="Z8" s="23">
        <f t="shared" si="0"/>
        <v>281067.8494610911</v>
      </c>
      <c r="AA8" s="23">
        <f t="shared" si="0"/>
        <v>279662.51021378563</v>
      </c>
      <c r="AB8" s="23">
        <f t="shared" si="0"/>
        <v>278264.19766271667</v>
      </c>
      <c r="AC8" s="23">
        <f t="shared" si="0"/>
        <v>276872.87667440309</v>
      </c>
      <c r="AD8" s="23">
        <f t="shared" si="0"/>
        <v>275488.51229103107</v>
      </c>
      <c r="AE8" s="23">
        <f t="shared" si="0"/>
        <v>274111.06972957595</v>
      </c>
      <c r="AF8" s="23">
        <f t="shared" si="0"/>
        <v>272740.51438092801</v>
      </c>
      <c r="AG8" s="23">
        <f t="shared" si="0"/>
        <v>271376.81180902343</v>
      </c>
      <c r="AH8" s="23">
        <f t="shared" si="0"/>
        <v>270019.92774997832</v>
      </c>
      <c r="AI8" s="23">
        <f t="shared" si="0"/>
        <v>268669.82811122842</v>
      </c>
      <c r="AJ8" s="23">
        <f t="shared" si="0"/>
        <v>267326.47897067224</v>
      </c>
      <c r="AK8" s="23">
        <f t="shared" si="0"/>
        <v>265989.8465758189</v>
      </c>
      <c r="AL8" s="23">
        <f t="shared" si="0"/>
        <v>264659.8973429398</v>
      </c>
      <c r="AM8" s="23">
        <f t="shared" si="0"/>
        <v>263336.59785622515</v>
      </c>
      <c r="AN8" s="23">
        <f t="shared" si="0"/>
        <v>262019.91486694396</v>
      </c>
      <c r="AO8" s="23">
        <f t="shared" si="0"/>
        <v>260709.8152926093</v>
      </c>
      <c r="AP8" s="23">
        <f t="shared" si="0"/>
        <v>259406.26621614626</v>
      </c>
    </row>
    <row r="9" spans="1:42" x14ac:dyDescent="0.2">
      <c r="A9" s="40" t="s">
        <v>102</v>
      </c>
      <c r="B9" s="21" t="s">
        <v>80</v>
      </c>
      <c r="C9" s="29">
        <v>500000</v>
      </c>
      <c r="D9" s="21" t="s">
        <v>3</v>
      </c>
      <c r="F9" s="61" t="s">
        <v>169</v>
      </c>
      <c r="G9" s="18" t="s">
        <v>40</v>
      </c>
      <c r="H9" s="20">
        <f>IF(MIN(K50:AD50)&gt;19, "20+",MIN(K50:AD50))</f>
        <v>16</v>
      </c>
      <c r="I9" s="18" t="s">
        <v>70</v>
      </c>
      <c r="K9" s="24" t="s">
        <v>25</v>
      </c>
      <c r="L9" s="24"/>
      <c r="M9" s="23">
        <f t="shared" ref="M9:AP9" si="1">M8*(1-$C23)</f>
        <v>269993.7</v>
      </c>
      <c r="N9" s="23">
        <f t="shared" si="1"/>
        <v>268643.73149999999</v>
      </c>
      <c r="O9" s="23">
        <f t="shared" si="1"/>
        <v>267300.5128425</v>
      </c>
      <c r="P9" s="23">
        <f t="shared" si="1"/>
        <v>265964.01027828752</v>
      </c>
      <c r="Q9" s="23">
        <f t="shared" si="1"/>
        <v>264634.19022689608</v>
      </c>
      <c r="R9" s="23">
        <f t="shared" si="1"/>
        <v>263311.01927576162</v>
      </c>
      <c r="S9" s="23">
        <f t="shared" si="1"/>
        <v>261994.46417938281</v>
      </c>
      <c r="T9" s="23">
        <f t="shared" si="1"/>
        <v>260684.49185848588</v>
      </c>
      <c r="U9" s="23">
        <f t="shared" si="1"/>
        <v>259381.06939919345</v>
      </c>
      <c r="V9" s="23">
        <f t="shared" si="1"/>
        <v>258084.16405219745</v>
      </c>
      <c r="W9" s="23">
        <f t="shared" si="1"/>
        <v>256793.7432319365</v>
      </c>
      <c r="X9" s="23">
        <f t="shared" si="1"/>
        <v>255509.77451577684</v>
      </c>
      <c r="Y9" s="23">
        <f t="shared" si="1"/>
        <v>254232.22564319798</v>
      </c>
      <c r="Z9" s="23">
        <f t="shared" si="1"/>
        <v>252961.06451498199</v>
      </c>
      <c r="AA9" s="23">
        <f t="shared" si="1"/>
        <v>251696.25919240707</v>
      </c>
      <c r="AB9" s="23">
        <f t="shared" si="1"/>
        <v>250437.77789644501</v>
      </c>
      <c r="AC9" s="23">
        <f t="shared" si="1"/>
        <v>249185.58900696278</v>
      </c>
      <c r="AD9" s="23">
        <f t="shared" si="1"/>
        <v>247939.66106192797</v>
      </c>
      <c r="AE9" s="23">
        <f t="shared" si="1"/>
        <v>246699.96275661836</v>
      </c>
      <c r="AF9" s="23">
        <f t="shared" si="1"/>
        <v>245466.46294283521</v>
      </c>
      <c r="AG9" s="23">
        <f t="shared" si="1"/>
        <v>244239.13062812109</v>
      </c>
      <c r="AH9" s="23">
        <f t="shared" si="1"/>
        <v>243017.93497498048</v>
      </c>
      <c r="AI9" s="23">
        <f t="shared" si="1"/>
        <v>241802.84530010558</v>
      </c>
      <c r="AJ9" s="23">
        <f t="shared" si="1"/>
        <v>240593.83107360502</v>
      </c>
      <c r="AK9" s="23">
        <f t="shared" si="1"/>
        <v>239390.861918237</v>
      </c>
      <c r="AL9" s="23">
        <f t="shared" si="1"/>
        <v>238193.90760864582</v>
      </c>
      <c r="AM9" s="23">
        <f t="shared" si="1"/>
        <v>237002.93807060266</v>
      </c>
      <c r="AN9" s="23">
        <f t="shared" si="1"/>
        <v>235817.92338024956</v>
      </c>
      <c r="AO9" s="23">
        <f t="shared" si="1"/>
        <v>234638.83376334838</v>
      </c>
      <c r="AP9" s="23">
        <f t="shared" si="1"/>
        <v>233465.63959453165</v>
      </c>
    </row>
    <row r="10" spans="1:42" x14ac:dyDescent="0.2">
      <c r="A10" s="41"/>
      <c r="B10" s="42" t="s">
        <v>81</v>
      </c>
      <c r="C10" s="49">
        <f>C8/6.4*6500</f>
        <v>0</v>
      </c>
      <c r="D10" s="42" t="s">
        <v>3</v>
      </c>
      <c r="F10" s="61" t="s">
        <v>176</v>
      </c>
      <c r="G10" s="18" t="s">
        <v>57</v>
      </c>
      <c r="H10" s="19">
        <f>NPV(C53,L47:AG47)</f>
        <v>-23662.635609391691</v>
      </c>
      <c r="I10" s="18" t="s">
        <v>3</v>
      </c>
      <c r="J10" s="5"/>
      <c r="K10" s="24" t="s">
        <v>26</v>
      </c>
      <c r="L10" s="24"/>
      <c r="M10" s="23">
        <f t="shared" ref="M10:AP10" si="2">M8*$C23</f>
        <v>29999.300000000003</v>
      </c>
      <c r="N10" s="23">
        <f t="shared" si="2"/>
        <v>29849.303499999998</v>
      </c>
      <c r="O10" s="23">
        <f t="shared" si="2"/>
        <v>29700.056982500002</v>
      </c>
      <c r="P10" s="23">
        <f t="shared" si="2"/>
        <v>29551.556697587501</v>
      </c>
      <c r="Q10" s="23">
        <f t="shared" si="2"/>
        <v>29403.798914099567</v>
      </c>
      <c r="R10" s="23">
        <f t="shared" si="2"/>
        <v>29256.779919529068</v>
      </c>
      <c r="S10" s="23">
        <f t="shared" si="2"/>
        <v>29110.496019931423</v>
      </c>
      <c r="T10" s="23">
        <f t="shared" si="2"/>
        <v>28964.943539831766</v>
      </c>
      <c r="U10" s="23">
        <f t="shared" si="2"/>
        <v>28820.118822132605</v>
      </c>
      <c r="V10" s="23">
        <f t="shared" si="2"/>
        <v>28676.018228021941</v>
      </c>
      <c r="W10" s="23">
        <f t="shared" si="2"/>
        <v>28532.638136881837</v>
      </c>
      <c r="X10" s="23">
        <f t="shared" si="2"/>
        <v>28389.974946197428</v>
      </c>
      <c r="Y10" s="23">
        <f t="shared" si="2"/>
        <v>28248.025071466443</v>
      </c>
      <c r="Z10" s="23">
        <f t="shared" si="2"/>
        <v>28106.78494610911</v>
      </c>
      <c r="AA10" s="23">
        <f t="shared" si="2"/>
        <v>27966.251021378564</v>
      </c>
      <c r="AB10" s="23">
        <f t="shared" si="2"/>
        <v>27826.419766271669</v>
      </c>
      <c r="AC10" s="23">
        <f t="shared" si="2"/>
        <v>27687.287667440309</v>
      </c>
      <c r="AD10" s="23">
        <f t="shared" si="2"/>
        <v>27548.851229103107</v>
      </c>
      <c r="AE10" s="23">
        <f t="shared" si="2"/>
        <v>27411.106972957597</v>
      </c>
      <c r="AF10" s="23">
        <f t="shared" si="2"/>
        <v>27274.051438092803</v>
      </c>
      <c r="AG10" s="23">
        <f t="shared" si="2"/>
        <v>27137.681180902346</v>
      </c>
      <c r="AH10" s="23">
        <f t="shared" si="2"/>
        <v>27001.992774997834</v>
      </c>
      <c r="AI10" s="23">
        <f t="shared" si="2"/>
        <v>26866.982811122842</v>
      </c>
      <c r="AJ10" s="23">
        <f t="shared" si="2"/>
        <v>26732.647897067225</v>
      </c>
      <c r="AK10" s="23">
        <f t="shared" si="2"/>
        <v>26598.984657581892</v>
      </c>
      <c r="AL10" s="23">
        <f t="shared" si="2"/>
        <v>26465.98973429398</v>
      </c>
      <c r="AM10" s="23">
        <f t="shared" si="2"/>
        <v>26333.659785622516</v>
      </c>
      <c r="AN10" s="23">
        <f t="shared" si="2"/>
        <v>26201.991486694398</v>
      </c>
      <c r="AO10" s="23">
        <f t="shared" si="2"/>
        <v>26070.981529260931</v>
      </c>
      <c r="AP10" s="23">
        <f t="shared" si="2"/>
        <v>25940.626621614629</v>
      </c>
    </row>
    <row r="11" spans="1:42" x14ac:dyDescent="0.2">
      <c r="A11" s="21" t="s">
        <v>160</v>
      </c>
      <c r="B11" s="21" t="s">
        <v>77</v>
      </c>
      <c r="C11" s="29">
        <f>0.75*C6*1000</f>
        <v>150000</v>
      </c>
      <c r="D11" s="21" t="s">
        <v>3</v>
      </c>
      <c r="F11" s="59"/>
      <c r="G11" s="59" t="s">
        <v>118</v>
      </c>
      <c r="H11" s="63">
        <f>IF(-L47&lt;0.0001,"Very High", NPV($C53, M47:AP47)/-L47)</f>
        <v>1.1802967872664059</v>
      </c>
      <c r="I11" s="59"/>
      <c r="K11" s="24"/>
      <c r="L11" s="24"/>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row>
    <row r="12" spans="1:42" x14ac:dyDescent="0.2">
      <c r="A12" s="40" t="s">
        <v>159</v>
      </c>
      <c r="B12" s="21" t="s">
        <v>9</v>
      </c>
      <c r="C12" s="29">
        <v>0</v>
      </c>
      <c r="D12" s="21" t="s">
        <v>3</v>
      </c>
      <c r="F12" s="18" t="s">
        <v>170</v>
      </c>
      <c r="G12" s="18"/>
      <c r="H12" s="18"/>
      <c r="I12" s="18"/>
      <c r="K12" s="24" t="s">
        <v>13</v>
      </c>
      <c r="L12" s="25">
        <f>-SUM(C9:C10)</f>
        <v>-500000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ht="12.75" customHeight="1" x14ac:dyDescent="0.2">
      <c r="A13" s="40"/>
      <c r="B13" s="21" t="s">
        <v>198</v>
      </c>
      <c r="C13" s="30">
        <v>0.3</v>
      </c>
      <c r="D13" s="21" t="s">
        <v>6</v>
      </c>
      <c r="F13" s="18"/>
      <c r="G13" s="18"/>
      <c r="H13" s="18"/>
      <c r="I13" s="18"/>
      <c r="K13" s="24" t="s">
        <v>75</v>
      </c>
      <c r="L13" s="25">
        <f>C11</f>
        <v>150000</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x14ac:dyDescent="0.2">
      <c r="A14" s="41"/>
      <c r="B14" s="42" t="s">
        <v>197</v>
      </c>
      <c r="C14" s="50" t="s">
        <v>64</v>
      </c>
      <c r="D14" s="42" t="s">
        <v>103</v>
      </c>
      <c r="F14" s="18"/>
      <c r="G14" s="18"/>
      <c r="H14" s="18"/>
      <c r="I14" s="18"/>
      <c r="K14" s="24" t="s">
        <v>10</v>
      </c>
      <c r="L14" s="25">
        <f>C12</f>
        <v>0</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x14ac:dyDescent="0.2">
      <c r="A15" s="40" t="s">
        <v>42</v>
      </c>
      <c r="B15" s="21" t="s">
        <v>42</v>
      </c>
      <c r="C15" s="31" t="s">
        <v>64</v>
      </c>
      <c r="D15" s="21" t="s">
        <v>47</v>
      </c>
      <c r="F15" s="18"/>
      <c r="G15" s="18"/>
      <c r="H15" s="18"/>
      <c r="I15" s="18"/>
      <c r="K15" s="24" t="s">
        <v>11</v>
      </c>
      <c r="L15" s="47">
        <f>IF(C14="No",0,C13*(C9-C11))</f>
        <v>0</v>
      </c>
      <c r="M15" s="47">
        <f>C13</f>
        <v>0.3</v>
      </c>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row>
    <row r="16" spans="1:42" x14ac:dyDescent="0.2">
      <c r="A16" s="40"/>
      <c r="B16" s="21" t="s">
        <v>43</v>
      </c>
      <c r="C16" s="32">
        <v>1</v>
      </c>
      <c r="D16" s="21" t="s">
        <v>6</v>
      </c>
      <c r="F16" s="18"/>
      <c r="G16" s="18"/>
      <c r="H16" s="18"/>
      <c r="I16" s="18"/>
      <c r="K16" s="26" t="s">
        <v>28</v>
      </c>
      <c r="L16" s="25">
        <f t="shared" ref="L16:AP16" si="3">SUM(L12:L15)</f>
        <v>-350000</v>
      </c>
      <c r="M16" s="25">
        <f t="shared" si="3"/>
        <v>0.3</v>
      </c>
      <c r="N16" s="25">
        <f t="shared" si="3"/>
        <v>0</v>
      </c>
      <c r="O16" s="25">
        <f t="shared" si="3"/>
        <v>0</v>
      </c>
      <c r="P16" s="25">
        <f t="shared" si="3"/>
        <v>0</v>
      </c>
      <c r="Q16" s="25">
        <f t="shared" si="3"/>
        <v>0</v>
      </c>
      <c r="R16" s="25">
        <f t="shared" si="3"/>
        <v>0</v>
      </c>
      <c r="S16" s="25">
        <f t="shared" si="3"/>
        <v>0</v>
      </c>
      <c r="T16" s="25">
        <f t="shared" si="3"/>
        <v>0</v>
      </c>
      <c r="U16" s="25">
        <f t="shared" si="3"/>
        <v>0</v>
      </c>
      <c r="V16" s="25">
        <f t="shared" si="3"/>
        <v>0</v>
      </c>
      <c r="W16" s="25">
        <f t="shared" si="3"/>
        <v>0</v>
      </c>
      <c r="X16" s="25">
        <f t="shared" si="3"/>
        <v>0</v>
      </c>
      <c r="Y16" s="25">
        <f t="shared" si="3"/>
        <v>0</v>
      </c>
      <c r="Z16" s="25">
        <f t="shared" si="3"/>
        <v>0</v>
      </c>
      <c r="AA16" s="25">
        <f t="shared" si="3"/>
        <v>0</v>
      </c>
      <c r="AB16" s="25">
        <f t="shared" si="3"/>
        <v>0</v>
      </c>
      <c r="AC16" s="25">
        <f t="shared" si="3"/>
        <v>0</v>
      </c>
      <c r="AD16" s="25">
        <f t="shared" si="3"/>
        <v>0</v>
      </c>
      <c r="AE16" s="25">
        <f t="shared" si="3"/>
        <v>0</v>
      </c>
      <c r="AF16" s="25">
        <f t="shared" si="3"/>
        <v>0</v>
      </c>
      <c r="AG16" s="25">
        <f t="shared" si="3"/>
        <v>0</v>
      </c>
      <c r="AH16" s="25">
        <f t="shared" si="3"/>
        <v>0</v>
      </c>
      <c r="AI16" s="25">
        <f t="shared" si="3"/>
        <v>0</v>
      </c>
      <c r="AJ16" s="25">
        <f t="shared" si="3"/>
        <v>0</v>
      </c>
      <c r="AK16" s="25">
        <f t="shared" si="3"/>
        <v>0</v>
      </c>
      <c r="AL16" s="25">
        <f t="shared" si="3"/>
        <v>0</v>
      </c>
      <c r="AM16" s="25">
        <f t="shared" si="3"/>
        <v>0</v>
      </c>
      <c r="AN16" s="25">
        <f t="shared" si="3"/>
        <v>0</v>
      </c>
      <c r="AO16" s="25">
        <f t="shared" si="3"/>
        <v>0</v>
      </c>
      <c r="AP16" s="25">
        <f t="shared" si="3"/>
        <v>0</v>
      </c>
    </row>
    <row r="17" spans="1:42" x14ac:dyDescent="0.2">
      <c r="A17" s="40"/>
      <c r="B17" s="21" t="s">
        <v>44</v>
      </c>
      <c r="C17" s="28">
        <v>20</v>
      </c>
      <c r="D17" s="21" t="s">
        <v>22</v>
      </c>
      <c r="F17" s="18"/>
      <c r="G17" s="18"/>
      <c r="H17" s="18"/>
      <c r="I17" s="18"/>
      <c r="K17" s="26"/>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x14ac:dyDescent="0.2">
      <c r="A18" s="40"/>
      <c r="B18" s="21" t="s">
        <v>45</v>
      </c>
      <c r="C18" s="33">
        <v>0.04</v>
      </c>
      <c r="D18" s="21" t="s">
        <v>6</v>
      </c>
      <c r="F18" s="18"/>
      <c r="G18" s="18"/>
      <c r="H18" s="18"/>
      <c r="I18" s="18"/>
      <c r="K18" s="89" t="s">
        <v>66</v>
      </c>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x14ac:dyDescent="0.2">
      <c r="A19" s="40"/>
      <c r="B19" s="21" t="s">
        <v>60</v>
      </c>
      <c r="C19" s="32">
        <v>0.05</v>
      </c>
      <c r="D19" s="21" t="s">
        <v>6</v>
      </c>
      <c r="F19" s="18"/>
      <c r="G19" s="18"/>
      <c r="H19" s="18"/>
      <c r="I19" s="18"/>
      <c r="K19" s="26" t="s">
        <v>61</v>
      </c>
      <c r="L19" s="25">
        <f>IF(C15="No",0,C19*L16*C16)</f>
        <v>0</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x14ac:dyDescent="0.2">
      <c r="A20" s="41"/>
      <c r="B20" s="42" t="s">
        <v>63</v>
      </c>
      <c r="C20" s="51" t="s">
        <v>56</v>
      </c>
      <c r="D20" s="42" t="s">
        <v>47</v>
      </c>
      <c r="F20" s="18"/>
      <c r="G20" s="18"/>
      <c r="H20" s="18"/>
      <c r="I20" s="18"/>
      <c r="K20" s="26" t="s">
        <v>48</v>
      </c>
      <c r="L20" s="47">
        <f>IF(C15="Yes", IF(C20="Yes", -L16*C16+(-C19*L16*C16), -L16*C16), 0)</f>
        <v>0</v>
      </c>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row>
    <row r="21" spans="1:42" x14ac:dyDescent="0.2">
      <c r="A21" s="40" t="s">
        <v>105</v>
      </c>
      <c r="B21" s="21" t="s">
        <v>94</v>
      </c>
      <c r="C21" s="27">
        <f>C67</f>
        <v>299993</v>
      </c>
      <c r="D21" s="21" t="s">
        <v>115</v>
      </c>
      <c r="F21" s="18"/>
      <c r="G21" s="18"/>
      <c r="H21" s="18"/>
      <c r="I21" s="18"/>
      <c r="K21" s="26" t="s">
        <v>49</v>
      </c>
      <c r="L21" s="25">
        <f>SUM(L16:L20)</f>
        <v>-350000</v>
      </c>
      <c r="M21" s="25">
        <f t="shared" ref="M21:AF21" si="4">SUM(M16:M20)</f>
        <v>0.3</v>
      </c>
      <c r="N21" s="25">
        <f t="shared" si="4"/>
        <v>0</v>
      </c>
      <c r="O21" s="25">
        <f t="shared" si="4"/>
        <v>0</v>
      </c>
      <c r="P21" s="25">
        <f t="shared" si="4"/>
        <v>0</v>
      </c>
      <c r="Q21" s="25">
        <f t="shared" si="4"/>
        <v>0</v>
      </c>
      <c r="R21" s="25">
        <f t="shared" si="4"/>
        <v>0</v>
      </c>
      <c r="S21" s="25">
        <f t="shared" si="4"/>
        <v>0</v>
      </c>
      <c r="T21" s="25">
        <f t="shared" si="4"/>
        <v>0</v>
      </c>
      <c r="U21" s="25">
        <f t="shared" si="4"/>
        <v>0</v>
      </c>
      <c r="V21" s="25">
        <f t="shared" si="4"/>
        <v>0</v>
      </c>
      <c r="W21" s="25">
        <f t="shared" si="4"/>
        <v>0</v>
      </c>
      <c r="X21" s="25">
        <f t="shared" si="4"/>
        <v>0</v>
      </c>
      <c r="Y21" s="25">
        <f t="shared" si="4"/>
        <v>0</v>
      </c>
      <c r="Z21" s="25">
        <f t="shared" si="4"/>
        <v>0</v>
      </c>
      <c r="AA21" s="25">
        <f t="shared" si="4"/>
        <v>0</v>
      </c>
      <c r="AB21" s="25">
        <f t="shared" si="4"/>
        <v>0</v>
      </c>
      <c r="AC21" s="25">
        <f t="shared" si="4"/>
        <v>0</v>
      </c>
      <c r="AD21" s="25">
        <f t="shared" si="4"/>
        <v>0</v>
      </c>
      <c r="AE21" s="25">
        <f t="shared" si="4"/>
        <v>0</v>
      </c>
      <c r="AF21" s="25">
        <f t="shared" si="4"/>
        <v>0</v>
      </c>
      <c r="AG21" s="25">
        <f t="shared" ref="AG21:AP21" si="5">SUM(AG16:AG20)</f>
        <v>0</v>
      </c>
      <c r="AH21" s="25">
        <f t="shared" si="5"/>
        <v>0</v>
      </c>
      <c r="AI21" s="25">
        <f t="shared" si="5"/>
        <v>0</v>
      </c>
      <c r="AJ21" s="25">
        <f t="shared" si="5"/>
        <v>0</v>
      </c>
      <c r="AK21" s="25">
        <f t="shared" si="5"/>
        <v>0</v>
      </c>
      <c r="AL21" s="25">
        <f t="shared" si="5"/>
        <v>0</v>
      </c>
      <c r="AM21" s="25">
        <f t="shared" si="5"/>
        <v>0</v>
      </c>
      <c r="AN21" s="25">
        <f t="shared" si="5"/>
        <v>0</v>
      </c>
      <c r="AO21" s="25">
        <f t="shared" si="5"/>
        <v>0</v>
      </c>
      <c r="AP21" s="25">
        <f t="shared" si="5"/>
        <v>0</v>
      </c>
    </row>
    <row r="22" spans="1:42" x14ac:dyDescent="0.2">
      <c r="A22" s="40"/>
      <c r="B22" s="21" t="s">
        <v>95</v>
      </c>
      <c r="C22" s="33">
        <v>5.0000000000000001E-3</v>
      </c>
      <c r="D22" s="21" t="s">
        <v>6</v>
      </c>
      <c r="F22" s="18"/>
      <c r="G22" s="18"/>
      <c r="H22" s="18"/>
      <c r="I22" s="18"/>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x14ac:dyDescent="0.2">
      <c r="A23" s="40"/>
      <c r="B23" s="21" t="s">
        <v>96</v>
      </c>
      <c r="C23" s="32">
        <v>0.1</v>
      </c>
      <c r="D23" s="21" t="s">
        <v>6</v>
      </c>
      <c r="F23" s="18"/>
      <c r="G23" s="18"/>
      <c r="H23" s="18"/>
      <c r="I23" s="18"/>
      <c r="K23" s="24" t="s">
        <v>67</v>
      </c>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x14ac:dyDescent="0.2">
      <c r="A24" s="41"/>
      <c r="B24" s="42" t="s">
        <v>106</v>
      </c>
      <c r="C24" s="52">
        <f>0.25*46%</f>
        <v>0.115</v>
      </c>
      <c r="D24" s="42" t="s">
        <v>6</v>
      </c>
      <c r="F24" s="59"/>
      <c r="G24" s="59"/>
      <c r="H24" s="59"/>
      <c r="I24" s="59"/>
      <c r="K24" s="24" t="s">
        <v>86</v>
      </c>
      <c r="L24" s="24"/>
      <c r="M24" s="25">
        <f t="shared" ref="M24:AP24" si="6">M9*$C25*((1+$C30)^L7)+M10*$C26*((1+$C30)^L7)</f>
        <v>23999.440000000002</v>
      </c>
      <c r="N24" s="25">
        <f t="shared" si="6"/>
        <v>24237.634441999999</v>
      </c>
      <c r="O24" s="25">
        <f t="shared" si="6"/>
        <v>24478.192963836842</v>
      </c>
      <c r="P24" s="25">
        <f t="shared" si="6"/>
        <v>24721.139029002923</v>
      </c>
      <c r="Q24" s="25">
        <f t="shared" si="6"/>
        <v>24966.496333865773</v>
      </c>
      <c r="R24" s="25">
        <f t="shared" si="6"/>
        <v>25214.288809979385</v>
      </c>
      <c r="S24" s="25">
        <f t="shared" si="6"/>
        <v>25464.540626418428</v>
      </c>
      <c r="T24" s="25">
        <f t="shared" si="6"/>
        <v>25717.276192135629</v>
      </c>
      <c r="U24" s="25">
        <f t="shared" si="6"/>
        <v>25972.52015834257</v>
      </c>
      <c r="V24" s="25">
        <f t="shared" si="6"/>
        <v>26230.297420914114</v>
      </c>
      <c r="W24" s="25">
        <f t="shared" si="6"/>
        <v>26490.633122816689</v>
      </c>
      <c r="X24" s="25">
        <f t="shared" si="6"/>
        <v>26753.552656560641</v>
      </c>
      <c r="Y24" s="25">
        <f t="shared" si="6"/>
        <v>27019.081666677004</v>
      </c>
      <c r="Z24" s="25">
        <f t="shared" si="6"/>
        <v>27287.246052218772</v>
      </c>
      <c r="AA24" s="25">
        <f t="shared" si="6"/>
        <v>27558.071969287037</v>
      </c>
      <c r="AB24" s="25">
        <f t="shared" si="6"/>
        <v>27831.585833582201</v>
      </c>
      <c r="AC24" s="25">
        <f t="shared" si="6"/>
        <v>28107.814322980503</v>
      </c>
      <c r="AD24" s="25">
        <f t="shared" si="6"/>
        <v>28386.78438013608</v>
      </c>
      <c r="AE24" s="25">
        <f t="shared" si="6"/>
        <v>28668.523215108933</v>
      </c>
      <c r="AF24" s="25">
        <f t="shared" si="6"/>
        <v>28953.058308018881</v>
      </c>
      <c r="AG24" s="25">
        <f t="shared" si="6"/>
        <v>29240.417411725961</v>
      </c>
      <c r="AH24" s="25">
        <f t="shared" si="6"/>
        <v>29530.628554537343</v>
      </c>
      <c r="AI24" s="25">
        <f t="shared" si="6"/>
        <v>29823.72004294112</v>
      </c>
      <c r="AJ24" s="25">
        <f t="shared" si="6"/>
        <v>30119.720464367307</v>
      </c>
      <c r="AK24" s="25">
        <f t="shared" si="6"/>
        <v>30418.658689976142</v>
      </c>
      <c r="AL24" s="25">
        <f t="shared" si="6"/>
        <v>30720.56387747416</v>
      </c>
      <c r="AM24" s="25">
        <f t="shared" si="6"/>
        <v>31025.465473958091</v>
      </c>
      <c r="AN24" s="25">
        <f t="shared" si="6"/>
        <v>31333.393218787111</v>
      </c>
      <c r="AO24" s="25">
        <f t="shared" si="6"/>
        <v>31644.377146483574</v>
      </c>
      <c r="AP24" s="25">
        <f t="shared" si="6"/>
        <v>31958.447589662424</v>
      </c>
    </row>
    <row r="25" spans="1:42" x14ac:dyDescent="0.2">
      <c r="A25" s="40" t="s">
        <v>165</v>
      </c>
      <c r="B25" s="21" t="s">
        <v>27</v>
      </c>
      <c r="C25" s="34">
        <v>0.08</v>
      </c>
      <c r="D25" s="21" t="s">
        <v>8</v>
      </c>
      <c r="F25" s="18" t="s">
        <v>200</v>
      </c>
      <c r="G25" s="64"/>
      <c r="H25" s="18"/>
      <c r="I25" s="18"/>
      <c r="K25" s="24" t="s">
        <v>91</v>
      </c>
      <c r="L25" s="24"/>
      <c r="M25" s="25">
        <f t="shared" ref="M25:AP25" si="7">IF($C27="No", 0, ($C6*$C24*$C28*12)*(1+$C30)^(L7))</f>
        <v>1380</v>
      </c>
      <c r="N25" s="25">
        <f t="shared" si="7"/>
        <v>1400.6999999999998</v>
      </c>
      <c r="O25" s="25">
        <f t="shared" si="7"/>
        <v>1421.7104999999997</v>
      </c>
      <c r="P25" s="25">
        <f t="shared" si="7"/>
        <v>1443.0361574999995</v>
      </c>
      <c r="Q25" s="25">
        <f t="shared" si="7"/>
        <v>1464.6816998624993</v>
      </c>
      <c r="R25" s="25">
        <f t="shared" si="7"/>
        <v>1486.6519253604365</v>
      </c>
      <c r="S25" s="25">
        <f t="shared" si="7"/>
        <v>1508.9517042408427</v>
      </c>
      <c r="T25" s="25">
        <f t="shared" si="7"/>
        <v>1531.5859798044551</v>
      </c>
      <c r="U25" s="25">
        <f t="shared" si="7"/>
        <v>1554.5597695015219</v>
      </c>
      <c r="V25" s="25">
        <f t="shared" si="7"/>
        <v>1577.8781660440445</v>
      </c>
      <c r="W25" s="25">
        <f t="shared" si="7"/>
        <v>1601.546338534705</v>
      </c>
      <c r="X25" s="25">
        <f t="shared" si="7"/>
        <v>1625.5695336127253</v>
      </c>
      <c r="Y25" s="25">
        <f t="shared" si="7"/>
        <v>1649.953076616916</v>
      </c>
      <c r="Z25" s="25">
        <f t="shared" si="7"/>
        <v>1674.7023727661694</v>
      </c>
      <c r="AA25" s="25">
        <f t="shared" si="7"/>
        <v>1699.8229083576616</v>
      </c>
      <c r="AB25" s="25">
        <f t="shared" si="7"/>
        <v>1725.3202519830263</v>
      </c>
      <c r="AC25" s="25">
        <f t="shared" si="7"/>
        <v>1751.2000557627716</v>
      </c>
      <c r="AD25" s="25">
        <f t="shared" si="7"/>
        <v>1777.4680565992128</v>
      </c>
      <c r="AE25" s="25">
        <f t="shared" si="7"/>
        <v>1804.1300774482008</v>
      </c>
      <c r="AF25" s="25">
        <f t="shared" si="7"/>
        <v>1831.1920286099237</v>
      </c>
      <c r="AG25" s="25">
        <f t="shared" si="7"/>
        <v>1858.6599090390721</v>
      </c>
      <c r="AH25" s="25">
        <f t="shared" si="7"/>
        <v>1886.5398076746581</v>
      </c>
      <c r="AI25" s="25">
        <f t="shared" si="7"/>
        <v>1914.8379047897774</v>
      </c>
      <c r="AJ25" s="25">
        <f t="shared" si="7"/>
        <v>1943.560473361624</v>
      </c>
      <c r="AK25" s="25">
        <f t="shared" si="7"/>
        <v>1972.7138804620481</v>
      </c>
      <c r="AL25" s="25">
        <f t="shared" si="7"/>
        <v>2002.3045886689786</v>
      </c>
      <c r="AM25" s="25">
        <f t="shared" si="7"/>
        <v>2032.339157499013</v>
      </c>
      <c r="AN25" s="25">
        <f t="shared" si="7"/>
        <v>2062.8242448614978</v>
      </c>
      <c r="AO25" s="25">
        <f t="shared" si="7"/>
        <v>2093.7666085344199</v>
      </c>
      <c r="AP25" s="25">
        <f t="shared" si="7"/>
        <v>2125.1731076624365</v>
      </c>
    </row>
    <row r="26" spans="1:42" x14ac:dyDescent="0.2">
      <c r="A26" s="40" t="s">
        <v>166</v>
      </c>
      <c r="B26" s="21" t="s">
        <v>7</v>
      </c>
      <c r="C26" s="34">
        <v>0.08</v>
      </c>
      <c r="D26" s="21" t="s">
        <v>8</v>
      </c>
      <c r="F26" s="74" t="s">
        <v>194</v>
      </c>
      <c r="G26" s="59"/>
      <c r="H26" s="59"/>
      <c r="I26" s="106"/>
      <c r="K26" s="24" t="s">
        <v>72</v>
      </c>
      <c r="L26" s="24"/>
      <c r="M26" s="25">
        <f t="shared" ref="M26:AP26" si="8">$C33*$C34*$C35*365</f>
        <v>0</v>
      </c>
      <c r="N26" s="25">
        <f t="shared" si="8"/>
        <v>0</v>
      </c>
      <c r="O26" s="25">
        <f t="shared" si="8"/>
        <v>0</v>
      </c>
      <c r="P26" s="25">
        <f t="shared" si="8"/>
        <v>0</v>
      </c>
      <c r="Q26" s="25">
        <f t="shared" si="8"/>
        <v>0</v>
      </c>
      <c r="R26" s="25">
        <f t="shared" si="8"/>
        <v>0</v>
      </c>
      <c r="S26" s="25">
        <f t="shared" si="8"/>
        <v>0</v>
      </c>
      <c r="T26" s="25">
        <f t="shared" si="8"/>
        <v>0</v>
      </c>
      <c r="U26" s="25">
        <f t="shared" si="8"/>
        <v>0</v>
      </c>
      <c r="V26" s="25">
        <f t="shared" si="8"/>
        <v>0</v>
      </c>
      <c r="W26" s="25">
        <f t="shared" si="8"/>
        <v>0</v>
      </c>
      <c r="X26" s="25">
        <f t="shared" si="8"/>
        <v>0</v>
      </c>
      <c r="Y26" s="25">
        <f t="shared" si="8"/>
        <v>0</v>
      </c>
      <c r="Z26" s="25">
        <f t="shared" si="8"/>
        <v>0</v>
      </c>
      <c r="AA26" s="25">
        <f t="shared" si="8"/>
        <v>0</v>
      </c>
      <c r="AB26" s="25">
        <f t="shared" si="8"/>
        <v>0</v>
      </c>
      <c r="AC26" s="25">
        <f t="shared" si="8"/>
        <v>0</v>
      </c>
      <c r="AD26" s="25">
        <f t="shared" si="8"/>
        <v>0</v>
      </c>
      <c r="AE26" s="25">
        <f t="shared" si="8"/>
        <v>0</v>
      </c>
      <c r="AF26" s="25">
        <f t="shared" si="8"/>
        <v>0</v>
      </c>
      <c r="AG26" s="25">
        <f t="shared" si="8"/>
        <v>0</v>
      </c>
      <c r="AH26" s="25">
        <f t="shared" si="8"/>
        <v>0</v>
      </c>
      <c r="AI26" s="25">
        <f t="shared" si="8"/>
        <v>0</v>
      </c>
      <c r="AJ26" s="25">
        <f t="shared" si="8"/>
        <v>0</v>
      </c>
      <c r="AK26" s="25">
        <f t="shared" si="8"/>
        <v>0</v>
      </c>
      <c r="AL26" s="25">
        <f t="shared" si="8"/>
        <v>0</v>
      </c>
      <c r="AM26" s="25">
        <f t="shared" si="8"/>
        <v>0</v>
      </c>
      <c r="AN26" s="25">
        <f t="shared" si="8"/>
        <v>0</v>
      </c>
      <c r="AO26" s="25">
        <f t="shared" si="8"/>
        <v>0</v>
      </c>
      <c r="AP26" s="25">
        <f t="shared" si="8"/>
        <v>0</v>
      </c>
    </row>
    <row r="27" spans="1:42" x14ac:dyDescent="0.2">
      <c r="A27" s="40"/>
      <c r="B27" s="21" t="s">
        <v>87</v>
      </c>
      <c r="C27" s="31" t="s">
        <v>56</v>
      </c>
      <c r="D27" s="21" t="s">
        <v>47</v>
      </c>
      <c r="F27" s="61" t="s">
        <v>171</v>
      </c>
      <c r="G27" s="65" t="s">
        <v>123</v>
      </c>
      <c r="H27" s="69">
        <v>3.7463253344350438</v>
      </c>
      <c r="I27" s="18"/>
      <c r="K27" s="24" t="s">
        <v>89</v>
      </c>
      <c r="L27" s="24"/>
      <c r="M27" s="25">
        <f>$C36</f>
        <v>0</v>
      </c>
      <c r="N27" s="25">
        <f>$C36</f>
        <v>0</v>
      </c>
      <c r="O27" s="25">
        <f>$C36</f>
        <v>0</v>
      </c>
      <c r="P27" s="25">
        <f>$C36</f>
        <v>0</v>
      </c>
      <c r="Q27" s="25">
        <f>$C36</f>
        <v>0</v>
      </c>
      <c r="R27" s="25">
        <f>$C37</f>
        <v>0</v>
      </c>
      <c r="S27" s="25">
        <f>$C37</f>
        <v>0</v>
      </c>
      <c r="T27" s="25">
        <f>$C37</f>
        <v>0</v>
      </c>
      <c r="U27" s="25">
        <f>$C37</f>
        <v>0</v>
      </c>
      <c r="V27" s="25">
        <f>$C37</f>
        <v>0</v>
      </c>
      <c r="W27" s="25">
        <f t="shared" ref="W27:AP27" si="9">$C38</f>
        <v>0</v>
      </c>
      <c r="X27" s="25">
        <f t="shared" si="9"/>
        <v>0</v>
      </c>
      <c r="Y27" s="25">
        <f t="shared" si="9"/>
        <v>0</v>
      </c>
      <c r="Z27" s="25">
        <f t="shared" si="9"/>
        <v>0</v>
      </c>
      <c r="AA27" s="25">
        <f t="shared" si="9"/>
        <v>0</v>
      </c>
      <c r="AB27" s="25">
        <f t="shared" si="9"/>
        <v>0</v>
      </c>
      <c r="AC27" s="25">
        <f t="shared" si="9"/>
        <v>0</v>
      </c>
      <c r="AD27" s="25">
        <f t="shared" si="9"/>
        <v>0</v>
      </c>
      <c r="AE27" s="25">
        <f t="shared" si="9"/>
        <v>0</v>
      </c>
      <c r="AF27" s="25">
        <f t="shared" si="9"/>
        <v>0</v>
      </c>
      <c r="AG27" s="25">
        <f t="shared" si="9"/>
        <v>0</v>
      </c>
      <c r="AH27" s="25">
        <f t="shared" si="9"/>
        <v>0</v>
      </c>
      <c r="AI27" s="25">
        <f t="shared" si="9"/>
        <v>0</v>
      </c>
      <c r="AJ27" s="25">
        <f t="shared" si="9"/>
        <v>0</v>
      </c>
      <c r="AK27" s="25">
        <f t="shared" si="9"/>
        <v>0</v>
      </c>
      <c r="AL27" s="25">
        <f t="shared" si="9"/>
        <v>0</v>
      </c>
      <c r="AM27" s="25">
        <f t="shared" si="9"/>
        <v>0</v>
      </c>
      <c r="AN27" s="25">
        <f t="shared" si="9"/>
        <v>0</v>
      </c>
      <c r="AO27" s="25">
        <f t="shared" si="9"/>
        <v>0</v>
      </c>
      <c r="AP27" s="25">
        <f t="shared" si="9"/>
        <v>0</v>
      </c>
    </row>
    <row r="28" spans="1:42" x14ac:dyDescent="0.2">
      <c r="A28" s="40"/>
      <c r="B28" s="21" t="s">
        <v>116</v>
      </c>
      <c r="C28" s="35">
        <v>5</v>
      </c>
      <c r="D28" s="21" t="s">
        <v>68</v>
      </c>
      <c r="F28" s="61" t="s">
        <v>174</v>
      </c>
      <c r="G28" s="65" t="s">
        <v>124</v>
      </c>
      <c r="H28" s="70">
        <v>250.39192869726105</v>
      </c>
      <c r="I28" s="18" t="s">
        <v>126</v>
      </c>
      <c r="K28" s="24" t="s">
        <v>73</v>
      </c>
      <c r="L28" s="24"/>
      <c r="M28" s="25">
        <f t="shared" ref="M28:AP28" si="10">IF(L7&lt;$C32, ($C8*365*$C29*$C31)*(1+$C30)^L7+IF($C27="No", 0, ($C7*12*$C28*$C31)*(1+$C30)^L7), 0)</f>
        <v>0</v>
      </c>
      <c r="N28" s="25">
        <f t="shared" si="10"/>
        <v>0</v>
      </c>
      <c r="O28" s="25">
        <f t="shared" si="10"/>
        <v>0</v>
      </c>
      <c r="P28" s="25">
        <f t="shared" si="10"/>
        <v>0</v>
      </c>
      <c r="Q28" s="25">
        <f t="shared" si="10"/>
        <v>0</v>
      </c>
      <c r="R28" s="25">
        <f t="shared" si="10"/>
        <v>0</v>
      </c>
      <c r="S28" s="25">
        <f t="shared" si="10"/>
        <v>0</v>
      </c>
      <c r="T28" s="25">
        <f t="shared" si="10"/>
        <v>0</v>
      </c>
      <c r="U28" s="25">
        <f t="shared" si="10"/>
        <v>0</v>
      </c>
      <c r="V28" s="25">
        <f t="shared" si="10"/>
        <v>0</v>
      </c>
      <c r="W28" s="25">
        <f t="shared" si="10"/>
        <v>0</v>
      </c>
      <c r="X28" s="25">
        <f t="shared" si="10"/>
        <v>0</v>
      </c>
      <c r="Y28" s="25">
        <f t="shared" si="10"/>
        <v>0</v>
      </c>
      <c r="Z28" s="25">
        <f t="shared" si="10"/>
        <v>0</v>
      </c>
      <c r="AA28" s="25">
        <f t="shared" si="10"/>
        <v>0</v>
      </c>
      <c r="AB28" s="25">
        <f t="shared" si="10"/>
        <v>0</v>
      </c>
      <c r="AC28" s="25">
        <f t="shared" si="10"/>
        <v>0</v>
      </c>
      <c r="AD28" s="25">
        <f t="shared" si="10"/>
        <v>0</v>
      </c>
      <c r="AE28" s="25">
        <f t="shared" si="10"/>
        <v>0</v>
      </c>
      <c r="AF28" s="25">
        <f t="shared" si="10"/>
        <v>0</v>
      </c>
      <c r="AG28" s="25">
        <f t="shared" si="10"/>
        <v>0</v>
      </c>
      <c r="AH28" s="25">
        <f t="shared" si="10"/>
        <v>0</v>
      </c>
      <c r="AI28" s="25">
        <f t="shared" si="10"/>
        <v>0</v>
      </c>
      <c r="AJ28" s="25">
        <f t="shared" si="10"/>
        <v>0</v>
      </c>
      <c r="AK28" s="25">
        <f t="shared" si="10"/>
        <v>0</v>
      </c>
      <c r="AL28" s="25">
        <f t="shared" si="10"/>
        <v>0</v>
      </c>
      <c r="AM28" s="25">
        <f t="shared" si="10"/>
        <v>0</v>
      </c>
      <c r="AN28" s="25">
        <f t="shared" si="10"/>
        <v>0</v>
      </c>
      <c r="AO28" s="25">
        <f t="shared" si="10"/>
        <v>0</v>
      </c>
      <c r="AP28" s="25">
        <f t="shared" si="10"/>
        <v>0</v>
      </c>
    </row>
    <row r="29" spans="1:42" x14ac:dyDescent="0.2">
      <c r="A29" s="40"/>
      <c r="B29" s="21" t="s">
        <v>79</v>
      </c>
      <c r="C29" s="34">
        <v>0</v>
      </c>
      <c r="D29" s="21" t="s">
        <v>8</v>
      </c>
      <c r="F29" s="66" t="s">
        <v>175</v>
      </c>
      <c r="G29" s="67" t="s">
        <v>125</v>
      </c>
      <c r="H29" s="71">
        <v>531.05924338238287</v>
      </c>
      <c r="I29" s="106" t="s">
        <v>126</v>
      </c>
      <c r="K29" s="24" t="s">
        <v>74</v>
      </c>
      <c r="L29" s="24"/>
      <c r="M29" s="90">
        <f t="shared" ref="M29:AP29" si="11">$C39</f>
        <v>0</v>
      </c>
      <c r="N29" s="90">
        <f t="shared" si="11"/>
        <v>0</v>
      </c>
      <c r="O29" s="90">
        <f t="shared" si="11"/>
        <v>0</v>
      </c>
      <c r="P29" s="90">
        <f t="shared" si="11"/>
        <v>0</v>
      </c>
      <c r="Q29" s="90">
        <f t="shared" si="11"/>
        <v>0</v>
      </c>
      <c r="R29" s="90">
        <f t="shared" si="11"/>
        <v>0</v>
      </c>
      <c r="S29" s="90">
        <f t="shared" si="11"/>
        <v>0</v>
      </c>
      <c r="T29" s="90">
        <f t="shared" si="11"/>
        <v>0</v>
      </c>
      <c r="U29" s="90">
        <f t="shared" si="11"/>
        <v>0</v>
      </c>
      <c r="V29" s="90">
        <f t="shared" si="11"/>
        <v>0</v>
      </c>
      <c r="W29" s="90">
        <f t="shared" si="11"/>
        <v>0</v>
      </c>
      <c r="X29" s="90">
        <f t="shared" si="11"/>
        <v>0</v>
      </c>
      <c r="Y29" s="90">
        <f t="shared" si="11"/>
        <v>0</v>
      </c>
      <c r="Z29" s="90">
        <f t="shared" si="11"/>
        <v>0</v>
      </c>
      <c r="AA29" s="90">
        <f t="shared" si="11"/>
        <v>0</v>
      </c>
      <c r="AB29" s="90">
        <f t="shared" si="11"/>
        <v>0</v>
      </c>
      <c r="AC29" s="90">
        <f t="shared" si="11"/>
        <v>0</v>
      </c>
      <c r="AD29" s="90">
        <f t="shared" si="11"/>
        <v>0</v>
      </c>
      <c r="AE29" s="90">
        <f t="shared" si="11"/>
        <v>0</v>
      </c>
      <c r="AF29" s="90">
        <f t="shared" si="11"/>
        <v>0</v>
      </c>
      <c r="AG29" s="90">
        <f t="shared" si="11"/>
        <v>0</v>
      </c>
      <c r="AH29" s="90">
        <f t="shared" si="11"/>
        <v>0</v>
      </c>
      <c r="AI29" s="90">
        <f t="shared" si="11"/>
        <v>0</v>
      </c>
      <c r="AJ29" s="90">
        <f t="shared" si="11"/>
        <v>0</v>
      </c>
      <c r="AK29" s="90">
        <f t="shared" si="11"/>
        <v>0</v>
      </c>
      <c r="AL29" s="90">
        <f t="shared" si="11"/>
        <v>0</v>
      </c>
      <c r="AM29" s="90">
        <f t="shared" si="11"/>
        <v>0</v>
      </c>
      <c r="AN29" s="90">
        <f t="shared" si="11"/>
        <v>0</v>
      </c>
      <c r="AO29" s="90">
        <f t="shared" si="11"/>
        <v>0</v>
      </c>
      <c r="AP29" s="90">
        <f t="shared" si="11"/>
        <v>0</v>
      </c>
    </row>
    <row r="30" spans="1:42" ht="12.75" customHeight="1" x14ac:dyDescent="0.2">
      <c r="A30" s="41"/>
      <c r="B30" s="42" t="s">
        <v>90</v>
      </c>
      <c r="C30" s="53">
        <v>1.4999999999999999E-2</v>
      </c>
      <c r="D30" s="42" t="s">
        <v>6</v>
      </c>
      <c r="F30" s="61" t="s">
        <v>171</v>
      </c>
      <c r="G30" s="65" t="s">
        <v>123</v>
      </c>
      <c r="H30" s="69">
        <v>5.5215692779515137E-2</v>
      </c>
      <c r="I30" s="18"/>
      <c r="K30" s="24" t="s">
        <v>36</v>
      </c>
      <c r="L30" s="24"/>
      <c r="M30" s="47">
        <f>M8/1000*$C40</f>
        <v>0</v>
      </c>
      <c r="N30" s="47">
        <f>N8/1000*$C40</f>
        <v>0</v>
      </c>
      <c r="O30" s="47">
        <f>O8/1000*$C40</f>
        <v>0</v>
      </c>
      <c r="P30" s="47">
        <f>P8/1000*$C40</f>
        <v>0</v>
      </c>
      <c r="Q30" s="47">
        <f>Q8/1000*$C40</f>
        <v>0</v>
      </c>
      <c r="R30" s="47">
        <f>R8/1000*$C41</f>
        <v>0</v>
      </c>
      <c r="S30" s="47">
        <f>S8/1000*$C41</f>
        <v>0</v>
      </c>
      <c r="T30" s="47">
        <f>T8/1000*$C41</f>
        <v>0</v>
      </c>
      <c r="U30" s="47">
        <f>U8/1000*$C41</f>
        <v>0</v>
      </c>
      <c r="V30" s="47">
        <f>V8/1000*$C41</f>
        <v>0</v>
      </c>
      <c r="W30" s="47">
        <f t="shared" ref="W30:AP30" si="12">W8/1000*$C42</f>
        <v>0</v>
      </c>
      <c r="X30" s="47">
        <f t="shared" si="12"/>
        <v>0</v>
      </c>
      <c r="Y30" s="47">
        <f t="shared" si="12"/>
        <v>0</v>
      </c>
      <c r="Z30" s="47">
        <f t="shared" si="12"/>
        <v>0</v>
      </c>
      <c r="AA30" s="47">
        <f t="shared" si="12"/>
        <v>0</v>
      </c>
      <c r="AB30" s="47">
        <f t="shared" si="12"/>
        <v>0</v>
      </c>
      <c r="AC30" s="47">
        <f t="shared" si="12"/>
        <v>0</v>
      </c>
      <c r="AD30" s="47">
        <f t="shared" si="12"/>
        <v>0</v>
      </c>
      <c r="AE30" s="47">
        <f t="shared" si="12"/>
        <v>0</v>
      </c>
      <c r="AF30" s="47">
        <f t="shared" si="12"/>
        <v>0</v>
      </c>
      <c r="AG30" s="47">
        <f t="shared" si="12"/>
        <v>0</v>
      </c>
      <c r="AH30" s="47">
        <f t="shared" si="12"/>
        <v>0</v>
      </c>
      <c r="AI30" s="47">
        <f t="shared" si="12"/>
        <v>0</v>
      </c>
      <c r="AJ30" s="47">
        <f t="shared" si="12"/>
        <v>0</v>
      </c>
      <c r="AK30" s="47">
        <f t="shared" si="12"/>
        <v>0</v>
      </c>
      <c r="AL30" s="47">
        <f t="shared" si="12"/>
        <v>0</v>
      </c>
      <c r="AM30" s="47">
        <f t="shared" si="12"/>
        <v>0</v>
      </c>
      <c r="AN30" s="47">
        <f t="shared" si="12"/>
        <v>0</v>
      </c>
      <c r="AO30" s="47">
        <f t="shared" si="12"/>
        <v>0</v>
      </c>
      <c r="AP30" s="47">
        <f t="shared" si="12"/>
        <v>0</v>
      </c>
    </row>
    <row r="31" spans="1:42" x14ac:dyDescent="0.2">
      <c r="A31" s="40" t="s">
        <v>161</v>
      </c>
      <c r="B31" s="21" t="s">
        <v>93</v>
      </c>
      <c r="C31" s="32">
        <v>0.9</v>
      </c>
      <c r="D31" s="21" t="s">
        <v>6</v>
      </c>
      <c r="F31" s="61" t="s">
        <v>172</v>
      </c>
      <c r="G31" s="65" t="s">
        <v>124</v>
      </c>
      <c r="H31" s="70">
        <v>3.4513562409598726</v>
      </c>
      <c r="I31" s="18" t="s">
        <v>126</v>
      </c>
      <c r="K31" s="26" t="s">
        <v>69</v>
      </c>
      <c r="L31" s="24"/>
      <c r="M31" s="25">
        <f>SUM(M24:M30)</f>
        <v>25379.440000000002</v>
      </c>
      <c r="N31" s="25">
        <f t="shared" ref="N31:AP31" si="13">SUM(N24:N30)</f>
        <v>25638.334441999999</v>
      </c>
      <c r="O31" s="25">
        <f t="shared" si="13"/>
        <v>25899.903463836843</v>
      </c>
      <c r="P31" s="25">
        <f t="shared" si="13"/>
        <v>26164.175186502922</v>
      </c>
      <c r="Q31" s="25">
        <f t="shared" si="13"/>
        <v>26431.178033728273</v>
      </c>
      <c r="R31" s="25">
        <f t="shared" si="13"/>
        <v>26700.94073533982</v>
      </c>
      <c r="S31" s="25">
        <f t="shared" si="13"/>
        <v>26973.492330659272</v>
      </c>
      <c r="T31" s="25">
        <f t="shared" si="13"/>
        <v>27248.862171940083</v>
      </c>
      <c r="U31" s="25">
        <f t="shared" si="13"/>
        <v>27527.07992784409</v>
      </c>
      <c r="V31" s="25">
        <f t="shared" si="13"/>
        <v>27808.175586958158</v>
      </c>
      <c r="W31" s="25">
        <f t="shared" si="13"/>
        <v>28092.179461351396</v>
      </c>
      <c r="X31" s="25">
        <f t="shared" si="13"/>
        <v>28379.122190173366</v>
      </c>
      <c r="Y31" s="25">
        <f t="shared" si="13"/>
        <v>28669.03474329392</v>
      </c>
      <c r="Z31" s="25">
        <f t="shared" si="13"/>
        <v>28961.948424984941</v>
      </c>
      <c r="AA31" s="25">
        <f t="shared" si="13"/>
        <v>29257.8948776447</v>
      </c>
      <c r="AB31" s="25">
        <f t="shared" si="13"/>
        <v>29556.906085565228</v>
      </c>
      <c r="AC31" s="25">
        <f t="shared" si="13"/>
        <v>29859.014378743275</v>
      </c>
      <c r="AD31" s="25">
        <f t="shared" si="13"/>
        <v>30164.252436735293</v>
      </c>
      <c r="AE31" s="25">
        <f t="shared" si="13"/>
        <v>30472.653292557134</v>
      </c>
      <c r="AF31" s="25">
        <f t="shared" si="13"/>
        <v>30784.250336628804</v>
      </c>
      <c r="AG31" s="25">
        <f t="shared" si="13"/>
        <v>31099.077320765035</v>
      </c>
      <c r="AH31" s="25">
        <f t="shared" si="13"/>
        <v>31417.168362212</v>
      </c>
      <c r="AI31" s="25">
        <f t="shared" si="13"/>
        <v>31738.557947730897</v>
      </c>
      <c r="AJ31" s="25">
        <f t="shared" si="13"/>
        <v>32063.28093772893</v>
      </c>
      <c r="AK31" s="25">
        <f t="shared" si="13"/>
        <v>32391.37257043819</v>
      </c>
      <c r="AL31" s="25">
        <f t="shared" si="13"/>
        <v>32722.86846614314</v>
      </c>
      <c r="AM31" s="25">
        <f t="shared" si="13"/>
        <v>33057.804631457104</v>
      </c>
      <c r="AN31" s="25">
        <f t="shared" si="13"/>
        <v>33396.217463648609</v>
      </c>
      <c r="AO31" s="25">
        <f t="shared" si="13"/>
        <v>33738.143755017991</v>
      </c>
      <c r="AP31" s="25">
        <f t="shared" si="13"/>
        <v>34083.620697324863</v>
      </c>
    </row>
    <row r="32" spans="1:42" x14ac:dyDescent="0.2">
      <c r="A32" s="41" t="s">
        <v>162</v>
      </c>
      <c r="B32" s="42" t="s">
        <v>109</v>
      </c>
      <c r="C32" s="54">
        <v>10</v>
      </c>
      <c r="D32" s="42" t="s">
        <v>22</v>
      </c>
      <c r="F32" s="66" t="s">
        <v>173</v>
      </c>
      <c r="G32" s="67" t="s">
        <v>125</v>
      </c>
      <c r="H32" s="71">
        <v>5.6997757861907354</v>
      </c>
      <c r="I32" s="59" t="s">
        <v>126</v>
      </c>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x14ac:dyDescent="0.2">
      <c r="A33" s="40" t="s">
        <v>107</v>
      </c>
      <c r="B33" s="21" t="s">
        <v>83</v>
      </c>
      <c r="C33" s="37">
        <v>0</v>
      </c>
      <c r="D33" s="21" t="s">
        <v>85</v>
      </c>
      <c r="F33" s="18" t="s">
        <v>201</v>
      </c>
      <c r="G33" s="18"/>
      <c r="H33" s="18"/>
      <c r="I33" s="18"/>
      <c r="K33" s="24" t="s">
        <v>12</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row>
    <row r="34" spans="1:42" x14ac:dyDescent="0.2">
      <c r="A34" s="40"/>
      <c r="B34" s="21" t="s">
        <v>114</v>
      </c>
      <c r="C34" s="28">
        <v>2</v>
      </c>
      <c r="D34" s="21" t="s">
        <v>3</v>
      </c>
      <c r="F34" s="74" t="s">
        <v>183</v>
      </c>
      <c r="G34" s="73"/>
      <c r="H34" s="59"/>
      <c r="I34" s="106"/>
      <c r="K34" s="24" t="s">
        <v>14</v>
      </c>
      <c r="L34" s="24"/>
      <c r="M34" s="25">
        <f t="shared" ref="M34:AP34" si="14">$C43*$C6*(1+$C$45)^L$7</f>
        <v>3986</v>
      </c>
      <c r="N34" s="25">
        <f t="shared" si="14"/>
        <v>4045.7899999999995</v>
      </c>
      <c r="O34" s="25">
        <f t="shared" si="14"/>
        <v>4106.4768499999991</v>
      </c>
      <c r="P34" s="25">
        <f t="shared" si="14"/>
        <v>4168.0740027499987</v>
      </c>
      <c r="Q34" s="25">
        <f t="shared" si="14"/>
        <v>4230.5951127912476</v>
      </c>
      <c r="R34" s="25">
        <f t="shared" si="14"/>
        <v>4294.054039483116</v>
      </c>
      <c r="S34" s="25">
        <f t="shared" si="14"/>
        <v>4358.4648500753619</v>
      </c>
      <c r="T34" s="25">
        <f t="shared" si="14"/>
        <v>4423.8418228264918</v>
      </c>
      <c r="U34" s="25">
        <f t="shared" si="14"/>
        <v>4490.1994501688887</v>
      </c>
      <c r="V34" s="25">
        <f t="shared" si="14"/>
        <v>4557.5524419214216</v>
      </c>
      <c r="W34" s="25">
        <f t="shared" si="14"/>
        <v>4625.9157285502424</v>
      </c>
      <c r="X34" s="25">
        <f t="shared" si="14"/>
        <v>4695.304464478495</v>
      </c>
      <c r="Y34" s="25">
        <f t="shared" si="14"/>
        <v>4765.7340314456715</v>
      </c>
      <c r="Z34" s="25">
        <f t="shared" si="14"/>
        <v>4837.220041917356</v>
      </c>
      <c r="AA34" s="25">
        <f t="shared" si="14"/>
        <v>4909.7783425461157</v>
      </c>
      <c r="AB34" s="25">
        <f t="shared" si="14"/>
        <v>4983.4250176843061</v>
      </c>
      <c r="AC34" s="25">
        <f t="shared" si="14"/>
        <v>5058.1763929495701</v>
      </c>
      <c r="AD34" s="25">
        <f t="shared" si="14"/>
        <v>5134.0490388438129</v>
      </c>
      <c r="AE34" s="25">
        <f t="shared" si="14"/>
        <v>5211.0597744264705</v>
      </c>
      <c r="AF34" s="25">
        <f t="shared" si="14"/>
        <v>5289.2256710428665</v>
      </c>
      <c r="AG34" s="25">
        <f t="shared" si="14"/>
        <v>5368.5640561085083</v>
      </c>
      <c r="AH34" s="25">
        <f t="shared" si="14"/>
        <v>5449.0925169501352</v>
      </c>
      <c r="AI34" s="25">
        <f t="shared" si="14"/>
        <v>5530.8289047043863</v>
      </c>
      <c r="AJ34" s="25">
        <f t="shared" si="14"/>
        <v>5613.7913382749512</v>
      </c>
      <c r="AK34" s="25">
        <f t="shared" si="14"/>
        <v>5697.998208349075</v>
      </c>
      <c r="AL34" s="25">
        <f t="shared" si="14"/>
        <v>5783.4681814743108</v>
      </c>
      <c r="AM34" s="25">
        <f t="shared" si="14"/>
        <v>5870.2202041964247</v>
      </c>
      <c r="AN34" s="25">
        <f t="shared" si="14"/>
        <v>5958.2735072593705</v>
      </c>
      <c r="AO34" s="25">
        <f t="shared" si="14"/>
        <v>6047.6476098682597</v>
      </c>
      <c r="AP34" s="25">
        <f t="shared" si="14"/>
        <v>6138.3623240162833</v>
      </c>
    </row>
    <row r="35" spans="1:42" x14ac:dyDescent="0.2">
      <c r="A35" s="41"/>
      <c r="B35" s="42" t="s">
        <v>84</v>
      </c>
      <c r="C35" s="52">
        <v>0.5</v>
      </c>
      <c r="D35" s="42" t="s">
        <v>6</v>
      </c>
      <c r="F35" s="61" t="s">
        <v>178</v>
      </c>
      <c r="G35" s="18"/>
      <c r="H35" s="92">
        <f>IF(C8&gt;0,(C21-(C8*365*(1-C31)))/12, C21/12)</f>
        <v>24999.416666666668</v>
      </c>
      <c r="I35" s="18" t="s">
        <v>156</v>
      </c>
      <c r="K35" s="24" t="s">
        <v>46</v>
      </c>
      <c r="L35" s="24"/>
      <c r="M35" s="25">
        <f t="shared" ref="M35:AP35" si="15">IF(M7&gt;$C17, 0, IF($C15="Yes", -IPMT($C18, M7, $C17, -$L20), 0))</f>
        <v>0</v>
      </c>
      <c r="N35" s="25">
        <f t="shared" si="15"/>
        <v>0</v>
      </c>
      <c r="O35" s="25">
        <f t="shared" si="15"/>
        <v>0</v>
      </c>
      <c r="P35" s="25">
        <f t="shared" si="15"/>
        <v>0</v>
      </c>
      <c r="Q35" s="25">
        <f t="shared" si="15"/>
        <v>0</v>
      </c>
      <c r="R35" s="25">
        <f t="shared" si="15"/>
        <v>0</v>
      </c>
      <c r="S35" s="25">
        <f t="shared" si="15"/>
        <v>0</v>
      </c>
      <c r="T35" s="25">
        <f t="shared" si="15"/>
        <v>0</v>
      </c>
      <c r="U35" s="25">
        <f t="shared" si="15"/>
        <v>0</v>
      </c>
      <c r="V35" s="25">
        <f t="shared" si="15"/>
        <v>0</v>
      </c>
      <c r="W35" s="25">
        <f t="shared" si="15"/>
        <v>0</v>
      </c>
      <c r="X35" s="25">
        <f t="shared" si="15"/>
        <v>0</v>
      </c>
      <c r="Y35" s="25">
        <f t="shared" si="15"/>
        <v>0</v>
      </c>
      <c r="Z35" s="25">
        <f t="shared" si="15"/>
        <v>0</v>
      </c>
      <c r="AA35" s="25">
        <f t="shared" si="15"/>
        <v>0</v>
      </c>
      <c r="AB35" s="25">
        <f t="shared" si="15"/>
        <v>0</v>
      </c>
      <c r="AC35" s="25">
        <f t="shared" si="15"/>
        <v>0</v>
      </c>
      <c r="AD35" s="25">
        <f t="shared" si="15"/>
        <v>0</v>
      </c>
      <c r="AE35" s="25">
        <f t="shared" si="15"/>
        <v>0</v>
      </c>
      <c r="AF35" s="25">
        <f t="shared" si="15"/>
        <v>0</v>
      </c>
      <c r="AG35" s="25">
        <f t="shared" si="15"/>
        <v>0</v>
      </c>
      <c r="AH35" s="25">
        <f t="shared" si="15"/>
        <v>0</v>
      </c>
      <c r="AI35" s="25">
        <f t="shared" si="15"/>
        <v>0</v>
      </c>
      <c r="AJ35" s="25">
        <f t="shared" si="15"/>
        <v>0</v>
      </c>
      <c r="AK35" s="25">
        <f t="shared" si="15"/>
        <v>0</v>
      </c>
      <c r="AL35" s="25">
        <f t="shared" si="15"/>
        <v>0</v>
      </c>
      <c r="AM35" s="25">
        <f t="shared" si="15"/>
        <v>0</v>
      </c>
      <c r="AN35" s="25">
        <f t="shared" si="15"/>
        <v>0</v>
      </c>
      <c r="AO35" s="25">
        <f t="shared" si="15"/>
        <v>0</v>
      </c>
      <c r="AP35" s="25">
        <f t="shared" si="15"/>
        <v>0</v>
      </c>
    </row>
    <row r="36" spans="1:42" x14ac:dyDescent="0.2">
      <c r="A36" s="40" t="s">
        <v>108</v>
      </c>
      <c r="B36" s="21" t="s">
        <v>97</v>
      </c>
      <c r="C36" s="29">
        <v>0</v>
      </c>
      <c r="D36" s="21" t="s">
        <v>98</v>
      </c>
      <c r="F36" s="61" t="s">
        <v>141</v>
      </c>
      <c r="G36" s="65" t="s">
        <v>142</v>
      </c>
      <c r="H36" s="68">
        <v>195</v>
      </c>
      <c r="I36" s="18" t="s">
        <v>181</v>
      </c>
      <c r="K36" s="24" t="s">
        <v>16</v>
      </c>
      <c r="L36" s="24"/>
      <c r="M36" s="25">
        <f t="shared" ref="M36:AP36" si="16">-$C44*(1+$C$45)^L$7</f>
        <v>0</v>
      </c>
      <c r="N36" s="25">
        <f t="shared" si="16"/>
        <v>0</v>
      </c>
      <c r="O36" s="25">
        <f t="shared" si="16"/>
        <v>0</v>
      </c>
      <c r="P36" s="25">
        <f t="shared" si="16"/>
        <v>0</v>
      </c>
      <c r="Q36" s="25">
        <f t="shared" si="16"/>
        <v>0</v>
      </c>
      <c r="R36" s="25">
        <f t="shared" si="16"/>
        <v>0</v>
      </c>
      <c r="S36" s="25">
        <f t="shared" si="16"/>
        <v>0</v>
      </c>
      <c r="T36" s="25">
        <f t="shared" si="16"/>
        <v>0</v>
      </c>
      <c r="U36" s="25">
        <f t="shared" si="16"/>
        <v>0</v>
      </c>
      <c r="V36" s="25">
        <f t="shared" si="16"/>
        <v>0</v>
      </c>
      <c r="W36" s="25">
        <f t="shared" si="16"/>
        <v>0</v>
      </c>
      <c r="X36" s="25">
        <f t="shared" si="16"/>
        <v>0</v>
      </c>
      <c r="Y36" s="25">
        <f t="shared" si="16"/>
        <v>0</v>
      </c>
      <c r="Z36" s="25">
        <f t="shared" si="16"/>
        <v>0</v>
      </c>
      <c r="AA36" s="25">
        <f t="shared" si="16"/>
        <v>0</v>
      </c>
      <c r="AB36" s="25">
        <f t="shared" si="16"/>
        <v>0</v>
      </c>
      <c r="AC36" s="25">
        <f t="shared" si="16"/>
        <v>0</v>
      </c>
      <c r="AD36" s="25">
        <f t="shared" si="16"/>
        <v>0</v>
      </c>
      <c r="AE36" s="25">
        <f t="shared" si="16"/>
        <v>0</v>
      </c>
      <c r="AF36" s="25">
        <f t="shared" si="16"/>
        <v>0</v>
      </c>
      <c r="AG36" s="25">
        <f t="shared" si="16"/>
        <v>0</v>
      </c>
      <c r="AH36" s="25">
        <f t="shared" si="16"/>
        <v>0</v>
      </c>
      <c r="AI36" s="25">
        <f t="shared" si="16"/>
        <v>0</v>
      </c>
      <c r="AJ36" s="25">
        <f t="shared" si="16"/>
        <v>0</v>
      </c>
      <c r="AK36" s="25">
        <f t="shared" si="16"/>
        <v>0</v>
      </c>
      <c r="AL36" s="25">
        <f t="shared" si="16"/>
        <v>0</v>
      </c>
      <c r="AM36" s="25">
        <f t="shared" si="16"/>
        <v>0</v>
      </c>
      <c r="AN36" s="25">
        <f t="shared" si="16"/>
        <v>0</v>
      </c>
      <c r="AO36" s="25">
        <f t="shared" si="16"/>
        <v>0</v>
      </c>
      <c r="AP36" s="25">
        <f t="shared" si="16"/>
        <v>0</v>
      </c>
    </row>
    <row r="37" spans="1:42" ht="12.75" customHeight="1" x14ac:dyDescent="0.2">
      <c r="A37" s="40"/>
      <c r="B37" s="21"/>
      <c r="C37" s="29">
        <v>0</v>
      </c>
      <c r="D37" s="21" t="s">
        <v>99</v>
      </c>
      <c r="F37" s="61" t="s">
        <v>179</v>
      </c>
      <c r="G37" s="65" t="s">
        <v>144</v>
      </c>
      <c r="H37" s="68">
        <v>618</v>
      </c>
      <c r="I37" s="18" t="s">
        <v>181</v>
      </c>
      <c r="K37" s="24" t="s">
        <v>15</v>
      </c>
      <c r="L37" s="24"/>
      <c r="M37" s="25">
        <f t="shared" ref="M37:AP37" si="17">IF(M7=$C47,$C46*$C9*(1+$C48)^L7, IF(M7=2*$C47,$C46*$C9*(1+$C48)^L7, IF(M7=3*$C47,$C46*$C9*(1+$C48)^L7, 0)))</f>
        <v>0</v>
      </c>
      <c r="N37" s="25">
        <f t="shared" si="17"/>
        <v>0</v>
      </c>
      <c r="O37" s="25">
        <f t="shared" si="17"/>
        <v>0</v>
      </c>
      <c r="P37" s="25">
        <f t="shared" si="17"/>
        <v>0</v>
      </c>
      <c r="Q37" s="25">
        <f t="shared" si="17"/>
        <v>0</v>
      </c>
      <c r="R37" s="25">
        <f t="shared" si="17"/>
        <v>0</v>
      </c>
      <c r="S37" s="25">
        <f t="shared" si="17"/>
        <v>0</v>
      </c>
      <c r="T37" s="25">
        <f t="shared" si="17"/>
        <v>0</v>
      </c>
      <c r="U37" s="25">
        <f t="shared" si="17"/>
        <v>0</v>
      </c>
      <c r="V37" s="25">
        <f t="shared" si="17"/>
        <v>0</v>
      </c>
      <c r="W37" s="25">
        <f t="shared" si="17"/>
        <v>0</v>
      </c>
      <c r="X37" s="25">
        <f t="shared" si="17"/>
        <v>0</v>
      </c>
      <c r="Y37" s="25">
        <f t="shared" si="17"/>
        <v>0</v>
      </c>
      <c r="Z37" s="25">
        <f t="shared" si="17"/>
        <v>0</v>
      </c>
      <c r="AA37" s="25">
        <f t="shared" si="17"/>
        <v>0</v>
      </c>
      <c r="AB37" s="25">
        <f t="shared" si="17"/>
        <v>0</v>
      </c>
      <c r="AC37" s="25">
        <f t="shared" si="17"/>
        <v>0</v>
      </c>
      <c r="AD37" s="25">
        <f t="shared" si="17"/>
        <v>0</v>
      </c>
      <c r="AE37" s="25">
        <f t="shared" si="17"/>
        <v>0</v>
      </c>
      <c r="AF37" s="25">
        <f t="shared" si="17"/>
        <v>0</v>
      </c>
      <c r="AG37" s="25">
        <f t="shared" si="17"/>
        <v>0</v>
      </c>
      <c r="AH37" s="25">
        <f t="shared" si="17"/>
        <v>0</v>
      </c>
      <c r="AI37" s="25">
        <f t="shared" si="17"/>
        <v>0</v>
      </c>
      <c r="AJ37" s="25">
        <f t="shared" si="17"/>
        <v>0</v>
      </c>
      <c r="AK37" s="25">
        <f t="shared" si="17"/>
        <v>0</v>
      </c>
      <c r="AL37" s="25">
        <f t="shared" si="17"/>
        <v>0</v>
      </c>
      <c r="AM37" s="25">
        <f t="shared" si="17"/>
        <v>0</v>
      </c>
      <c r="AN37" s="25">
        <f t="shared" si="17"/>
        <v>0</v>
      </c>
      <c r="AO37" s="25">
        <f t="shared" si="17"/>
        <v>0</v>
      </c>
      <c r="AP37" s="25">
        <f t="shared" si="17"/>
        <v>0</v>
      </c>
    </row>
    <row r="38" spans="1:42" x14ac:dyDescent="0.2">
      <c r="A38" s="41"/>
      <c r="B38" s="42"/>
      <c r="C38" s="49">
        <v>0</v>
      </c>
      <c r="D38" s="42" t="s">
        <v>100</v>
      </c>
      <c r="F38" s="66" t="s">
        <v>180</v>
      </c>
      <c r="G38" s="67" t="s">
        <v>143</v>
      </c>
      <c r="H38" s="72">
        <v>367003</v>
      </c>
      <c r="I38" s="59" t="s">
        <v>181</v>
      </c>
      <c r="K38" s="24" t="s">
        <v>29</v>
      </c>
      <c r="L38" s="24"/>
      <c r="M38" s="47">
        <f>IF($C49="None", 0, IF($C49="MACRS",#REF!*- $C$50, 0))</f>
        <v>0</v>
      </c>
      <c r="N38" s="47">
        <f>IF($C49="None", 0, IF($C49="MACRS",#REF!*- $C$50, 0))</f>
        <v>0</v>
      </c>
      <c r="O38" s="47">
        <f>IF($C49="None", 0, IF($C49="MACRS",#REF!*- $C$50, 0))</f>
        <v>0</v>
      </c>
      <c r="P38" s="47">
        <f>IF($C49="None", 0, IF($C49="MACRS",#REF!*- $C$50, 0))</f>
        <v>0</v>
      </c>
      <c r="Q38" s="47">
        <f>IF($C49="None", 0, IF($C49="MACRS",#REF!*- $C$50, 0))</f>
        <v>0</v>
      </c>
      <c r="R38" s="47">
        <f>IF($C49="None", 0, IF($C49="MACRS",#REF!*- $C$50, 0))</f>
        <v>0</v>
      </c>
      <c r="S38" s="47">
        <f>IF($C49="None", 0, IF($C49="MACRS",#REF!*- $C$50, 0))</f>
        <v>0</v>
      </c>
      <c r="T38" s="47">
        <f>IF($C49="None", 0, IF($C49="MACRS",#REF!*- $C$50, 0))</f>
        <v>0</v>
      </c>
      <c r="U38" s="47">
        <f>IF($C49="None", 0, IF($C49="MACRS",#REF!*- $C$50, 0))</f>
        <v>0</v>
      </c>
      <c r="V38" s="47">
        <f>IF($C49="None", 0, IF($C49="MACRS",#REF!*- $C$50, 0))</f>
        <v>0</v>
      </c>
      <c r="W38" s="47">
        <f>IF($C49="None", 0, IF($C49="MACRS",#REF!*- $C$50, 0))</f>
        <v>0</v>
      </c>
      <c r="X38" s="47">
        <f>IF($C49="None", 0, IF($C49="MACRS",#REF!*- $C$50, 0))</f>
        <v>0</v>
      </c>
      <c r="Y38" s="47">
        <f>IF($C49="None", 0, IF($C49="MACRS",#REF!*- $C$50, 0))</f>
        <v>0</v>
      </c>
      <c r="Z38" s="47">
        <f>IF($C49="None", 0, IF($C49="MACRS",#REF!*- $C$50, 0))</f>
        <v>0</v>
      </c>
      <c r="AA38" s="47">
        <f>IF($C49="None", 0, IF($C49="MACRS",#REF!*- $C$50, 0))</f>
        <v>0</v>
      </c>
      <c r="AB38" s="47">
        <f>IF($C49="None", 0, IF($C49="MACRS",#REF!*- $C$50, 0))</f>
        <v>0</v>
      </c>
      <c r="AC38" s="47">
        <f>IF($C49="None", 0, IF($C49="MACRS",#REF!*- $C$50, 0))</f>
        <v>0</v>
      </c>
      <c r="AD38" s="47">
        <f>IF($C49="None", 0, IF($C49="MACRS",#REF!*- $C$50, 0))</f>
        <v>0</v>
      </c>
      <c r="AE38" s="47">
        <f>IF($C49="None", 0, IF($C49="MACRS",#REF!*- $C$50, 0))</f>
        <v>0</v>
      </c>
      <c r="AF38" s="47">
        <f>IF($C49="None", 0, IF($C49="MACRS",#REF!*- $C$50, 0))</f>
        <v>0</v>
      </c>
      <c r="AG38" s="47">
        <f>IF($C49="None", 0, IF($C49="MACRS",#REF!*- $C$50, 0))</f>
        <v>0</v>
      </c>
      <c r="AH38" s="47">
        <f>IF($C49="None", 0, IF($C49="MACRS",#REF!*- $C$50, 0))</f>
        <v>0</v>
      </c>
      <c r="AI38" s="47">
        <f>IF($C49="None", 0, IF($C49="MACRS",#REF!*- $C$50, 0))</f>
        <v>0</v>
      </c>
      <c r="AJ38" s="47">
        <f>IF($C49="None", 0, IF($C49="MACRS",#REF!*- $C$50, 0))</f>
        <v>0</v>
      </c>
      <c r="AK38" s="47">
        <f>IF($C49="None", 0, IF($C49="MACRS",#REF!*- $C$50, 0))</f>
        <v>0</v>
      </c>
      <c r="AL38" s="47">
        <f>IF($C49="None", 0, IF($C49="MACRS",#REF!*- $C$50, 0))</f>
        <v>0</v>
      </c>
      <c r="AM38" s="47">
        <f>IF($C49="None", 0, IF($C49="MACRS",#REF!*- $C$50, 0))</f>
        <v>0</v>
      </c>
      <c r="AN38" s="47">
        <f>IF($C49="None", 0, IF($C49="MACRS",#REF!*- $C$50, 0))</f>
        <v>0</v>
      </c>
      <c r="AO38" s="47">
        <f>IF($C49="None", 0, IF($C49="MACRS",#REF!*- $C$50, 0))</f>
        <v>0</v>
      </c>
      <c r="AP38" s="47">
        <f>IF($C49="None", 0, IF($C49="MACRS",#REF!*- $C$50, 0))</f>
        <v>0</v>
      </c>
    </row>
    <row r="39" spans="1:42" x14ac:dyDescent="0.2">
      <c r="A39" s="43" t="s">
        <v>71</v>
      </c>
      <c r="B39" s="111" t="s">
        <v>214</v>
      </c>
      <c r="C39" s="48">
        <v>0</v>
      </c>
      <c r="D39" s="42" t="s">
        <v>3</v>
      </c>
      <c r="F39" s="65" t="s">
        <v>202</v>
      </c>
      <c r="G39" s="61"/>
      <c r="H39" s="18"/>
      <c r="I39" s="18"/>
      <c r="K39" s="26" t="s">
        <v>37</v>
      </c>
      <c r="L39" s="24"/>
      <c r="M39" s="25">
        <f>-SUM(M34:M38)</f>
        <v>-3986</v>
      </c>
      <c r="N39" s="25">
        <f t="shared" ref="N39:AP39" si="18">-SUM(N34:N38)</f>
        <v>-4045.7899999999995</v>
      </c>
      <c r="O39" s="25">
        <f t="shared" si="18"/>
        <v>-4106.4768499999991</v>
      </c>
      <c r="P39" s="25">
        <f t="shared" si="18"/>
        <v>-4168.0740027499987</v>
      </c>
      <c r="Q39" s="25">
        <f t="shared" si="18"/>
        <v>-4230.5951127912476</v>
      </c>
      <c r="R39" s="25">
        <f t="shared" si="18"/>
        <v>-4294.054039483116</v>
      </c>
      <c r="S39" s="25">
        <f t="shared" si="18"/>
        <v>-4358.4648500753619</v>
      </c>
      <c r="T39" s="25">
        <f t="shared" si="18"/>
        <v>-4423.8418228264918</v>
      </c>
      <c r="U39" s="25">
        <f t="shared" si="18"/>
        <v>-4490.1994501688887</v>
      </c>
      <c r="V39" s="25">
        <f t="shared" si="18"/>
        <v>-4557.5524419214216</v>
      </c>
      <c r="W39" s="25">
        <f t="shared" si="18"/>
        <v>-4625.9157285502424</v>
      </c>
      <c r="X39" s="25">
        <f t="shared" si="18"/>
        <v>-4695.304464478495</v>
      </c>
      <c r="Y39" s="25">
        <f t="shared" si="18"/>
        <v>-4765.7340314456715</v>
      </c>
      <c r="Z39" s="25">
        <f t="shared" si="18"/>
        <v>-4837.220041917356</v>
      </c>
      <c r="AA39" s="25">
        <f t="shared" si="18"/>
        <v>-4909.7783425461157</v>
      </c>
      <c r="AB39" s="25">
        <f t="shared" si="18"/>
        <v>-4983.4250176843061</v>
      </c>
      <c r="AC39" s="25">
        <f t="shared" si="18"/>
        <v>-5058.1763929495701</v>
      </c>
      <c r="AD39" s="25">
        <f t="shared" si="18"/>
        <v>-5134.0490388438129</v>
      </c>
      <c r="AE39" s="25">
        <f t="shared" si="18"/>
        <v>-5211.0597744264705</v>
      </c>
      <c r="AF39" s="25">
        <f t="shared" si="18"/>
        <v>-5289.2256710428665</v>
      </c>
      <c r="AG39" s="25">
        <f t="shared" si="18"/>
        <v>-5368.5640561085083</v>
      </c>
      <c r="AH39" s="25">
        <f t="shared" si="18"/>
        <v>-5449.0925169501352</v>
      </c>
      <c r="AI39" s="25">
        <f t="shared" si="18"/>
        <v>-5530.8289047043863</v>
      </c>
      <c r="AJ39" s="25">
        <f t="shared" si="18"/>
        <v>-5613.7913382749512</v>
      </c>
      <c r="AK39" s="25">
        <f t="shared" si="18"/>
        <v>-5697.998208349075</v>
      </c>
      <c r="AL39" s="25">
        <f t="shared" si="18"/>
        <v>-5783.4681814743108</v>
      </c>
      <c r="AM39" s="25">
        <f t="shared" si="18"/>
        <v>-5870.2202041964247</v>
      </c>
      <c r="AN39" s="25">
        <f t="shared" si="18"/>
        <v>-5958.2735072593705</v>
      </c>
      <c r="AO39" s="25">
        <f t="shared" si="18"/>
        <v>-6047.6476098682597</v>
      </c>
      <c r="AP39" s="25">
        <f t="shared" si="18"/>
        <v>-6138.3623240162833</v>
      </c>
    </row>
    <row r="40" spans="1:42" x14ac:dyDescent="0.2">
      <c r="A40" s="40" t="s">
        <v>82</v>
      </c>
      <c r="B40" s="21" t="s">
        <v>32</v>
      </c>
      <c r="C40" s="29">
        <v>0</v>
      </c>
      <c r="D40" s="21" t="s">
        <v>33</v>
      </c>
      <c r="F40" s="77" t="s">
        <v>182</v>
      </c>
      <c r="G40" s="78"/>
      <c r="H40" s="59"/>
      <c r="I40" s="106"/>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x14ac:dyDescent="0.2">
      <c r="A41" s="40"/>
      <c r="B41" s="21"/>
      <c r="C41" s="29">
        <v>0</v>
      </c>
      <c r="D41" s="21" t="s">
        <v>34</v>
      </c>
      <c r="F41" s="61" t="s">
        <v>179</v>
      </c>
      <c r="G41" s="65" t="s">
        <v>145</v>
      </c>
      <c r="H41" s="75">
        <v>398971</v>
      </c>
      <c r="I41" s="18" t="s">
        <v>146</v>
      </c>
      <c r="K41" s="24" t="s">
        <v>38</v>
      </c>
      <c r="L41" s="24"/>
      <c r="M41" s="25">
        <f t="shared" ref="M41:AP41" si="19">M31+M39</f>
        <v>21393.440000000002</v>
      </c>
      <c r="N41" s="25">
        <f t="shared" si="19"/>
        <v>21592.544441999999</v>
      </c>
      <c r="O41" s="25">
        <f t="shared" si="19"/>
        <v>21793.426613836844</v>
      </c>
      <c r="P41" s="25">
        <f t="shared" si="19"/>
        <v>21996.101183752922</v>
      </c>
      <c r="Q41" s="25">
        <f t="shared" si="19"/>
        <v>22200.582920937024</v>
      </c>
      <c r="R41" s="25">
        <f t="shared" si="19"/>
        <v>22406.886695856705</v>
      </c>
      <c r="S41" s="25">
        <f t="shared" si="19"/>
        <v>22615.027480583911</v>
      </c>
      <c r="T41" s="25">
        <f t="shared" si="19"/>
        <v>22825.020349113591</v>
      </c>
      <c r="U41" s="25">
        <f t="shared" si="19"/>
        <v>23036.8804776752</v>
      </c>
      <c r="V41" s="25">
        <f t="shared" si="19"/>
        <v>23250.623145036734</v>
      </c>
      <c r="W41" s="25">
        <f t="shared" si="19"/>
        <v>23466.263732801155</v>
      </c>
      <c r="X41" s="25">
        <f t="shared" si="19"/>
        <v>23683.817725694869</v>
      </c>
      <c r="Y41" s="25">
        <f t="shared" si="19"/>
        <v>23903.300711848249</v>
      </c>
      <c r="Z41" s="25">
        <f t="shared" si="19"/>
        <v>24124.728383067584</v>
      </c>
      <c r="AA41" s="25">
        <f t="shared" si="19"/>
        <v>24348.116535098583</v>
      </c>
      <c r="AB41" s="25">
        <f t="shared" si="19"/>
        <v>24573.481067880923</v>
      </c>
      <c r="AC41" s="25">
        <f t="shared" si="19"/>
        <v>24800.837985793703</v>
      </c>
      <c r="AD41" s="25">
        <f t="shared" si="19"/>
        <v>25030.203397891481</v>
      </c>
      <c r="AE41" s="25">
        <f t="shared" si="19"/>
        <v>25261.593518130663</v>
      </c>
      <c r="AF41" s="25">
        <f t="shared" si="19"/>
        <v>25495.024665585937</v>
      </c>
      <c r="AG41" s="25">
        <f t="shared" si="19"/>
        <v>25730.513264656525</v>
      </c>
      <c r="AH41" s="25">
        <f t="shared" si="19"/>
        <v>25968.075845261865</v>
      </c>
      <c r="AI41" s="25">
        <f t="shared" si="19"/>
        <v>26207.729043026509</v>
      </c>
      <c r="AJ41" s="25">
        <f t="shared" si="19"/>
        <v>26449.48959945398</v>
      </c>
      <c r="AK41" s="25">
        <f t="shared" si="19"/>
        <v>26693.374362089115</v>
      </c>
      <c r="AL41" s="25">
        <f t="shared" si="19"/>
        <v>26939.400284668831</v>
      </c>
      <c r="AM41" s="25">
        <f t="shared" si="19"/>
        <v>27187.584427260677</v>
      </c>
      <c r="AN41" s="25">
        <f t="shared" si="19"/>
        <v>27437.943956389237</v>
      </c>
      <c r="AO41" s="25">
        <f t="shared" si="19"/>
        <v>27690.496145149729</v>
      </c>
      <c r="AP41" s="25">
        <f t="shared" si="19"/>
        <v>27945.258373308578</v>
      </c>
    </row>
    <row r="42" spans="1:42" x14ac:dyDescent="0.2">
      <c r="A42" s="41"/>
      <c r="B42" s="42"/>
      <c r="C42" s="49">
        <v>0</v>
      </c>
      <c r="D42" s="42" t="s">
        <v>35</v>
      </c>
      <c r="F42" s="61" t="s">
        <v>184</v>
      </c>
      <c r="G42" s="65" t="s">
        <v>147</v>
      </c>
      <c r="H42" s="76">
        <v>24.6</v>
      </c>
      <c r="I42" s="18" t="s">
        <v>157</v>
      </c>
      <c r="K42" s="24" t="s">
        <v>50</v>
      </c>
      <c r="L42" s="24"/>
      <c r="M42" s="47">
        <f t="shared" ref="M42:AP42" si="20">IF($C52="No", 0, -$C51*M41)</f>
        <v>0</v>
      </c>
      <c r="N42" s="47">
        <f t="shared" si="20"/>
        <v>0</v>
      </c>
      <c r="O42" s="47">
        <f t="shared" si="20"/>
        <v>0</v>
      </c>
      <c r="P42" s="47">
        <f t="shared" si="20"/>
        <v>0</v>
      </c>
      <c r="Q42" s="47">
        <f t="shared" si="20"/>
        <v>0</v>
      </c>
      <c r="R42" s="47">
        <f t="shared" si="20"/>
        <v>0</v>
      </c>
      <c r="S42" s="47">
        <f t="shared" si="20"/>
        <v>0</v>
      </c>
      <c r="T42" s="47">
        <f t="shared" si="20"/>
        <v>0</v>
      </c>
      <c r="U42" s="47">
        <f t="shared" si="20"/>
        <v>0</v>
      </c>
      <c r="V42" s="47">
        <f t="shared" si="20"/>
        <v>0</v>
      </c>
      <c r="W42" s="47">
        <f t="shared" si="20"/>
        <v>0</v>
      </c>
      <c r="X42" s="47">
        <f t="shared" si="20"/>
        <v>0</v>
      </c>
      <c r="Y42" s="47">
        <f t="shared" si="20"/>
        <v>0</v>
      </c>
      <c r="Z42" s="47">
        <f t="shared" si="20"/>
        <v>0</v>
      </c>
      <c r="AA42" s="47">
        <f t="shared" si="20"/>
        <v>0</v>
      </c>
      <c r="AB42" s="47">
        <f t="shared" si="20"/>
        <v>0</v>
      </c>
      <c r="AC42" s="47">
        <f t="shared" si="20"/>
        <v>0</v>
      </c>
      <c r="AD42" s="47">
        <f t="shared" si="20"/>
        <v>0</v>
      </c>
      <c r="AE42" s="47">
        <f t="shared" si="20"/>
        <v>0</v>
      </c>
      <c r="AF42" s="47">
        <f t="shared" si="20"/>
        <v>0</v>
      </c>
      <c r="AG42" s="47">
        <f t="shared" si="20"/>
        <v>0</v>
      </c>
      <c r="AH42" s="47">
        <f t="shared" si="20"/>
        <v>0</v>
      </c>
      <c r="AI42" s="47">
        <f t="shared" si="20"/>
        <v>0</v>
      </c>
      <c r="AJ42" s="47">
        <f t="shared" si="20"/>
        <v>0</v>
      </c>
      <c r="AK42" s="47">
        <f t="shared" si="20"/>
        <v>0</v>
      </c>
      <c r="AL42" s="47">
        <f t="shared" si="20"/>
        <v>0</v>
      </c>
      <c r="AM42" s="47">
        <f t="shared" si="20"/>
        <v>0</v>
      </c>
      <c r="AN42" s="47">
        <f t="shared" si="20"/>
        <v>0</v>
      </c>
      <c r="AO42" s="47">
        <f t="shared" si="20"/>
        <v>0</v>
      </c>
      <c r="AP42" s="47">
        <f t="shared" si="20"/>
        <v>0</v>
      </c>
    </row>
    <row r="43" spans="1:42" x14ac:dyDescent="0.2">
      <c r="A43" s="40" t="s">
        <v>12</v>
      </c>
      <c r="B43" s="21" t="s">
        <v>120</v>
      </c>
      <c r="C43" s="35">
        <v>19.93</v>
      </c>
      <c r="D43" s="21" t="s">
        <v>121</v>
      </c>
      <c r="F43" s="61" t="s">
        <v>185</v>
      </c>
      <c r="G43" s="65" t="s">
        <v>148</v>
      </c>
      <c r="H43" s="75">
        <v>4314</v>
      </c>
      <c r="I43" s="18" t="s">
        <v>149</v>
      </c>
      <c r="K43" s="24" t="s">
        <v>52</v>
      </c>
      <c r="L43" s="24"/>
      <c r="M43" s="25">
        <f>SUM(M41:M42)</f>
        <v>21393.440000000002</v>
      </c>
      <c r="N43" s="25">
        <f t="shared" ref="N43:AF43" si="21">SUM(N41:N42)</f>
        <v>21592.544441999999</v>
      </c>
      <c r="O43" s="25">
        <f t="shared" si="21"/>
        <v>21793.426613836844</v>
      </c>
      <c r="P43" s="25">
        <f t="shared" si="21"/>
        <v>21996.101183752922</v>
      </c>
      <c r="Q43" s="25">
        <f t="shared" si="21"/>
        <v>22200.582920937024</v>
      </c>
      <c r="R43" s="25">
        <f t="shared" si="21"/>
        <v>22406.886695856705</v>
      </c>
      <c r="S43" s="25">
        <f t="shared" si="21"/>
        <v>22615.027480583911</v>
      </c>
      <c r="T43" s="25">
        <f t="shared" si="21"/>
        <v>22825.020349113591</v>
      </c>
      <c r="U43" s="25">
        <f t="shared" si="21"/>
        <v>23036.8804776752</v>
      </c>
      <c r="V43" s="25">
        <f t="shared" si="21"/>
        <v>23250.623145036734</v>
      </c>
      <c r="W43" s="25">
        <f t="shared" si="21"/>
        <v>23466.263732801155</v>
      </c>
      <c r="X43" s="25">
        <f t="shared" si="21"/>
        <v>23683.817725694869</v>
      </c>
      <c r="Y43" s="25">
        <f t="shared" si="21"/>
        <v>23903.300711848249</v>
      </c>
      <c r="Z43" s="25">
        <f t="shared" si="21"/>
        <v>24124.728383067584</v>
      </c>
      <c r="AA43" s="25">
        <f t="shared" si="21"/>
        <v>24348.116535098583</v>
      </c>
      <c r="AB43" s="25">
        <f t="shared" si="21"/>
        <v>24573.481067880923</v>
      </c>
      <c r="AC43" s="25">
        <f t="shared" si="21"/>
        <v>24800.837985793703</v>
      </c>
      <c r="AD43" s="25">
        <f t="shared" si="21"/>
        <v>25030.203397891481</v>
      </c>
      <c r="AE43" s="25">
        <f t="shared" si="21"/>
        <v>25261.593518130663</v>
      </c>
      <c r="AF43" s="25">
        <f t="shared" si="21"/>
        <v>25495.024665585937</v>
      </c>
      <c r="AG43" s="25">
        <f t="shared" ref="AG43:AP43" si="22">SUM(AG41:AG42)</f>
        <v>25730.513264656525</v>
      </c>
      <c r="AH43" s="25">
        <f t="shared" si="22"/>
        <v>25968.075845261865</v>
      </c>
      <c r="AI43" s="25">
        <f t="shared" si="22"/>
        <v>26207.729043026509</v>
      </c>
      <c r="AJ43" s="25">
        <f t="shared" si="22"/>
        <v>26449.48959945398</v>
      </c>
      <c r="AK43" s="25">
        <f t="shared" si="22"/>
        <v>26693.374362089115</v>
      </c>
      <c r="AL43" s="25">
        <f t="shared" si="22"/>
        <v>26939.400284668831</v>
      </c>
      <c r="AM43" s="25">
        <f t="shared" si="22"/>
        <v>27187.584427260677</v>
      </c>
      <c r="AN43" s="25">
        <f t="shared" si="22"/>
        <v>27437.943956389237</v>
      </c>
      <c r="AO43" s="25">
        <f t="shared" si="22"/>
        <v>27690.496145149729</v>
      </c>
      <c r="AP43" s="25">
        <f t="shared" si="22"/>
        <v>27945.258373308578</v>
      </c>
    </row>
    <row r="44" spans="1:42" x14ac:dyDescent="0.2">
      <c r="A44" s="40"/>
      <c r="B44" s="21" t="s">
        <v>17</v>
      </c>
      <c r="C44" s="28">
        <v>0</v>
      </c>
      <c r="D44" s="21" t="s">
        <v>18</v>
      </c>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row>
    <row r="45" spans="1:42" x14ac:dyDescent="0.2">
      <c r="A45" s="40"/>
      <c r="B45" s="21" t="s">
        <v>117</v>
      </c>
      <c r="C45" s="36">
        <v>1.4999999999999999E-2</v>
      </c>
      <c r="D45" s="21" t="s">
        <v>20</v>
      </c>
      <c r="F45" s="1"/>
      <c r="G45" s="1"/>
      <c r="K45" s="24" t="s">
        <v>53</v>
      </c>
      <c r="L45" s="24"/>
      <c r="M45" s="25">
        <f t="shared" ref="M45:AF45" si="23">-M38</f>
        <v>0</v>
      </c>
      <c r="N45" s="25">
        <f t="shared" si="23"/>
        <v>0</v>
      </c>
      <c r="O45" s="25">
        <f t="shared" si="23"/>
        <v>0</v>
      </c>
      <c r="P45" s="25">
        <f t="shared" si="23"/>
        <v>0</v>
      </c>
      <c r="Q45" s="25">
        <f t="shared" si="23"/>
        <v>0</v>
      </c>
      <c r="R45" s="25">
        <f t="shared" si="23"/>
        <v>0</v>
      </c>
      <c r="S45" s="25">
        <f t="shared" si="23"/>
        <v>0</v>
      </c>
      <c r="T45" s="25">
        <f t="shared" si="23"/>
        <v>0</v>
      </c>
      <c r="U45" s="25">
        <f t="shared" si="23"/>
        <v>0</v>
      </c>
      <c r="V45" s="25">
        <f t="shared" si="23"/>
        <v>0</v>
      </c>
      <c r="W45" s="25">
        <f t="shared" si="23"/>
        <v>0</v>
      </c>
      <c r="X45" s="25">
        <f t="shared" si="23"/>
        <v>0</v>
      </c>
      <c r="Y45" s="25">
        <f t="shared" si="23"/>
        <v>0</v>
      </c>
      <c r="Z45" s="25">
        <f t="shared" si="23"/>
        <v>0</v>
      </c>
      <c r="AA45" s="25">
        <f t="shared" si="23"/>
        <v>0</v>
      </c>
      <c r="AB45" s="25">
        <f t="shared" si="23"/>
        <v>0</v>
      </c>
      <c r="AC45" s="25">
        <f t="shared" si="23"/>
        <v>0</v>
      </c>
      <c r="AD45" s="25">
        <f t="shared" si="23"/>
        <v>0</v>
      </c>
      <c r="AE45" s="25">
        <f t="shared" si="23"/>
        <v>0</v>
      </c>
      <c r="AF45" s="25">
        <f t="shared" si="23"/>
        <v>0</v>
      </c>
      <c r="AG45" s="25">
        <f t="shared" ref="AG45:AP45" si="24">-AG38</f>
        <v>0</v>
      </c>
      <c r="AH45" s="25">
        <f t="shared" si="24"/>
        <v>0</v>
      </c>
      <c r="AI45" s="25">
        <f t="shared" si="24"/>
        <v>0</v>
      </c>
      <c r="AJ45" s="25">
        <f t="shared" si="24"/>
        <v>0</v>
      </c>
      <c r="AK45" s="25">
        <f t="shared" si="24"/>
        <v>0</v>
      </c>
      <c r="AL45" s="25">
        <f t="shared" si="24"/>
        <v>0</v>
      </c>
      <c r="AM45" s="25">
        <f t="shared" si="24"/>
        <v>0</v>
      </c>
      <c r="AN45" s="25">
        <f t="shared" si="24"/>
        <v>0</v>
      </c>
      <c r="AO45" s="25">
        <f t="shared" si="24"/>
        <v>0</v>
      </c>
      <c r="AP45" s="25">
        <f t="shared" si="24"/>
        <v>0</v>
      </c>
    </row>
    <row r="46" spans="1:42" x14ac:dyDescent="0.2">
      <c r="A46" s="40"/>
      <c r="B46" s="21" t="s">
        <v>23</v>
      </c>
      <c r="C46" s="32">
        <v>0</v>
      </c>
      <c r="D46" s="21" t="s">
        <v>24</v>
      </c>
      <c r="K46" s="24" t="s">
        <v>54</v>
      </c>
      <c r="L46" s="24"/>
      <c r="M46" s="25">
        <f t="shared" ref="M46:AP46" si="25">IF(M7&gt;$C17, 0, IF($C15="Yes", -PPMT($C18, M7, $C17, -$L20), 0))</f>
        <v>0</v>
      </c>
      <c r="N46" s="25">
        <f t="shared" si="25"/>
        <v>0</v>
      </c>
      <c r="O46" s="25">
        <f t="shared" si="25"/>
        <v>0</v>
      </c>
      <c r="P46" s="25">
        <f t="shared" si="25"/>
        <v>0</v>
      </c>
      <c r="Q46" s="25">
        <f t="shared" si="25"/>
        <v>0</v>
      </c>
      <c r="R46" s="25">
        <f t="shared" si="25"/>
        <v>0</v>
      </c>
      <c r="S46" s="25">
        <f t="shared" si="25"/>
        <v>0</v>
      </c>
      <c r="T46" s="25">
        <f t="shared" si="25"/>
        <v>0</v>
      </c>
      <c r="U46" s="25">
        <f t="shared" si="25"/>
        <v>0</v>
      </c>
      <c r="V46" s="25">
        <f t="shared" si="25"/>
        <v>0</v>
      </c>
      <c r="W46" s="25">
        <f t="shared" si="25"/>
        <v>0</v>
      </c>
      <c r="X46" s="25">
        <f t="shared" si="25"/>
        <v>0</v>
      </c>
      <c r="Y46" s="25">
        <f t="shared" si="25"/>
        <v>0</v>
      </c>
      <c r="Z46" s="25">
        <f t="shared" si="25"/>
        <v>0</v>
      </c>
      <c r="AA46" s="25">
        <f t="shared" si="25"/>
        <v>0</v>
      </c>
      <c r="AB46" s="25">
        <f t="shared" si="25"/>
        <v>0</v>
      </c>
      <c r="AC46" s="25">
        <f t="shared" si="25"/>
        <v>0</v>
      </c>
      <c r="AD46" s="25">
        <f t="shared" si="25"/>
        <v>0</v>
      </c>
      <c r="AE46" s="25">
        <f t="shared" si="25"/>
        <v>0</v>
      </c>
      <c r="AF46" s="25">
        <f t="shared" si="25"/>
        <v>0</v>
      </c>
      <c r="AG46" s="25">
        <f t="shared" si="25"/>
        <v>0</v>
      </c>
      <c r="AH46" s="25">
        <f t="shared" si="25"/>
        <v>0</v>
      </c>
      <c r="AI46" s="25">
        <f t="shared" si="25"/>
        <v>0</v>
      </c>
      <c r="AJ46" s="25">
        <f t="shared" si="25"/>
        <v>0</v>
      </c>
      <c r="AK46" s="25">
        <f t="shared" si="25"/>
        <v>0</v>
      </c>
      <c r="AL46" s="25">
        <f t="shared" si="25"/>
        <v>0</v>
      </c>
      <c r="AM46" s="25">
        <f t="shared" si="25"/>
        <v>0</v>
      </c>
      <c r="AN46" s="25">
        <f t="shared" si="25"/>
        <v>0</v>
      </c>
      <c r="AO46" s="25">
        <f t="shared" si="25"/>
        <v>0</v>
      </c>
      <c r="AP46" s="25">
        <f t="shared" si="25"/>
        <v>0</v>
      </c>
    </row>
    <row r="47" spans="1:42" x14ac:dyDescent="0.2">
      <c r="A47" s="40"/>
      <c r="B47" s="21" t="s">
        <v>21</v>
      </c>
      <c r="C47" s="38">
        <v>10</v>
      </c>
      <c r="D47" s="21" t="s">
        <v>22</v>
      </c>
      <c r="K47" s="24" t="s">
        <v>62</v>
      </c>
      <c r="L47" s="25">
        <f t="shared" ref="L47:AP47" si="26">SUM(L43:L46)+L21</f>
        <v>-350000</v>
      </c>
      <c r="M47" s="25">
        <f t="shared" si="26"/>
        <v>21393.74</v>
      </c>
      <c r="N47" s="25">
        <f t="shared" si="26"/>
        <v>21592.544441999999</v>
      </c>
      <c r="O47" s="25">
        <f t="shared" si="26"/>
        <v>21793.426613836844</v>
      </c>
      <c r="P47" s="25">
        <f t="shared" si="26"/>
        <v>21996.101183752922</v>
      </c>
      <c r="Q47" s="25">
        <f t="shared" si="26"/>
        <v>22200.582920937024</v>
      </c>
      <c r="R47" s="25">
        <f t="shared" si="26"/>
        <v>22406.886695856705</v>
      </c>
      <c r="S47" s="25">
        <f t="shared" si="26"/>
        <v>22615.027480583911</v>
      </c>
      <c r="T47" s="25">
        <f t="shared" si="26"/>
        <v>22825.020349113591</v>
      </c>
      <c r="U47" s="25">
        <f t="shared" si="26"/>
        <v>23036.8804776752</v>
      </c>
      <c r="V47" s="25">
        <f t="shared" si="26"/>
        <v>23250.623145036734</v>
      </c>
      <c r="W47" s="25">
        <f t="shared" si="26"/>
        <v>23466.263732801155</v>
      </c>
      <c r="X47" s="25">
        <f t="shared" si="26"/>
        <v>23683.817725694869</v>
      </c>
      <c r="Y47" s="25">
        <f t="shared" si="26"/>
        <v>23903.300711848249</v>
      </c>
      <c r="Z47" s="25">
        <f t="shared" si="26"/>
        <v>24124.728383067584</v>
      </c>
      <c r="AA47" s="25">
        <f t="shared" si="26"/>
        <v>24348.116535098583</v>
      </c>
      <c r="AB47" s="25">
        <f t="shared" si="26"/>
        <v>24573.481067880923</v>
      </c>
      <c r="AC47" s="25">
        <f t="shared" si="26"/>
        <v>24800.837985793703</v>
      </c>
      <c r="AD47" s="25">
        <f t="shared" si="26"/>
        <v>25030.203397891481</v>
      </c>
      <c r="AE47" s="25">
        <f t="shared" si="26"/>
        <v>25261.593518130663</v>
      </c>
      <c r="AF47" s="25">
        <f t="shared" si="26"/>
        <v>25495.024665585937</v>
      </c>
      <c r="AG47" s="25">
        <f t="shared" si="26"/>
        <v>25730.513264656525</v>
      </c>
      <c r="AH47" s="25">
        <f t="shared" si="26"/>
        <v>25968.075845261865</v>
      </c>
      <c r="AI47" s="25">
        <f t="shared" si="26"/>
        <v>26207.729043026509</v>
      </c>
      <c r="AJ47" s="25">
        <f t="shared" si="26"/>
        <v>26449.48959945398</v>
      </c>
      <c r="AK47" s="25">
        <f t="shared" si="26"/>
        <v>26693.374362089115</v>
      </c>
      <c r="AL47" s="25">
        <f t="shared" si="26"/>
        <v>26939.400284668831</v>
      </c>
      <c r="AM47" s="25">
        <f t="shared" si="26"/>
        <v>27187.584427260677</v>
      </c>
      <c r="AN47" s="25">
        <f t="shared" si="26"/>
        <v>27437.943956389237</v>
      </c>
      <c r="AO47" s="25">
        <f t="shared" si="26"/>
        <v>27690.496145149729</v>
      </c>
      <c r="AP47" s="25">
        <f t="shared" si="26"/>
        <v>27945.258373308578</v>
      </c>
    </row>
    <row r="48" spans="1:42" x14ac:dyDescent="0.2">
      <c r="A48" s="41"/>
      <c r="B48" s="42" t="s">
        <v>19</v>
      </c>
      <c r="C48" s="53">
        <v>-0.03</v>
      </c>
      <c r="D48" s="42" t="s">
        <v>20</v>
      </c>
      <c r="H48" s="6"/>
      <c r="K48" s="24" t="s">
        <v>39</v>
      </c>
      <c r="L48" s="25">
        <f>SUM($L47:L47)</f>
        <v>-350000</v>
      </c>
      <c r="M48" s="25">
        <f>SUM($L47:M47)</f>
        <v>-328606.26</v>
      </c>
      <c r="N48" s="25">
        <f>SUM($L47:N47)</f>
        <v>-307013.71555800003</v>
      </c>
      <c r="O48" s="25">
        <f>SUM($L47:O47)</f>
        <v>-285220.28894416319</v>
      </c>
      <c r="P48" s="25">
        <f>SUM($L47:P47)</f>
        <v>-263224.18776041025</v>
      </c>
      <c r="Q48" s="25">
        <f>SUM($L47:Q47)</f>
        <v>-241023.60483947324</v>
      </c>
      <c r="R48" s="25">
        <f>SUM($L47:R47)</f>
        <v>-218616.71814361654</v>
      </c>
      <c r="S48" s="25">
        <f>SUM($L47:S47)</f>
        <v>-196001.69066303264</v>
      </c>
      <c r="T48" s="25">
        <f>SUM($L47:T47)</f>
        <v>-173176.67031391905</v>
      </c>
      <c r="U48" s="25">
        <f>SUM($L47:U47)</f>
        <v>-150139.78983624384</v>
      </c>
      <c r="V48" s="25">
        <f>SUM($L47:V47)</f>
        <v>-126889.16669120711</v>
      </c>
      <c r="W48" s="25">
        <f>SUM($L47:W47)</f>
        <v>-103422.90295840596</v>
      </c>
      <c r="X48" s="25">
        <f>SUM($L47:X47)</f>
        <v>-79739.085232711092</v>
      </c>
      <c r="Y48" s="25">
        <f>SUM($L47:Y47)</f>
        <v>-55835.784520862842</v>
      </c>
      <c r="Z48" s="25">
        <f>SUM($L47:Z47)</f>
        <v>-31711.056137795258</v>
      </c>
      <c r="AA48" s="25">
        <f>SUM($L47:AA47)</f>
        <v>-7362.9396026966751</v>
      </c>
      <c r="AB48" s="25">
        <f>SUM($L47:AB47)</f>
        <v>17210.541465184247</v>
      </c>
      <c r="AC48" s="25">
        <f>SUM($L47:AC47)</f>
        <v>42011.379450977955</v>
      </c>
      <c r="AD48" s="25">
        <f>SUM($L47:AD47)</f>
        <v>67041.582848869439</v>
      </c>
      <c r="AE48" s="25">
        <f>SUM($L47:AE47)</f>
        <v>92303.176367000095</v>
      </c>
      <c r="AF48" s="25">
        <f>SUM($L47:AF47)</f>
        <v>117798.20103258603</v>
      </c>
      <c r="AG48" s="25">
        <f>SUM($L47:AG47)</f>
        <v>143528.71429724255</v>
      </c>
      <c r="AH48" s="25">
        <f>SUM($L47:AH47)</f>
        <v>169496.79014250441</v>
      </c>
      <c r="AI48" s="25">
        <f>SUM($L47:AI47)</f>
        <v>195704.51918553092</v>
      </c>
      <c r="AJ48" s="25">
        <f>SUM($L47:AJ47)</f>
        <v>222154.00878498491</v>
      </c>
      <c r="AK48" s="25">
        <f>SUM($L47:AK47)</f>
        <v>248847.38314707403</v>
      </c>
      <c r="AL48" s="25">
        <f>SUM($L47:AL47)</f>
        <v>275786.78343174286</v>
      </c>
      <c r="AM48" s="25">
        <f>SUM($L47:AM47)</f>
        <v>302974.36785900354</v>
      </c>
      <c r="AN48" s="25">
        <f>SUM($L47:AN47)</f>
        <v>330412.31181539281</v>
      </c>
      <c r="AO48" s="25">
        <f>SUM($L47:AO47)</f>
        <v>358102.80796054256</v>
      </c>
      <c r="AP48" s="25">
        <f>SUM($L47:AP47)</f>
        <v>386048.06633385114</v>
      </c>
    </row>
    <row r="49" spans="1:42" x14ac:dyDescent="0.2">
      <c r="A49" s="40" t="s">
        <v>110</v>
      </c>
      <c r="B49" s="21" t="s">
        <v>30</v>
      </c>
      <c r="C49" s="31" t="s">
        <v>65</v>
      </c>
      <c r="D49" s="21" t="s">
        <v>41</v>
      </c>
      <c r="H49" s="6"/>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row>
    <row r="50" spans="1:42" x14ac:dyDescent="0.2">
      <c r="A50" s="41"/>
      <c r="B50" s="42" t="s">
        <v>31</v>
      </c>
      <c r="C50" s="49">
        <f>-L12</f>
        <v>500000</v>
      </c>
      <c r="D50" s="42" t="s">
        <v>3</v>
      </c>
      <c r="K50" s="24"/>
      <c r="L50" s="91"/>
      <c r="M50" s="24" t="str">
        <f t="shared" ref="M50:AP50" si="27">IF(M48&gt;0,M7,"")</f>
        <v/>
      </c>
      <c r="N50" s="24" t="str">
        <f t="shared" si="27"/>
        <v/>
      </c>
      <c r="O50" s="24" t="str">
        <f t="shared" si="27"/>
        <v/>
      </c>
      <c r="P50" s="24" t="str">
        <f t="shared" si="27"/>
        <v/>
      </c>
      <c r="Q50" s="24" t="str">
        <f t="shared" si="27"/>
        <v/>
      </c>
      <c r="R50" s="24" t="str">
        <f t="shared" si="27"/>
        <v/>
      </c>
      <c r="S50" s="24" t="str">
        <f t="shared" si="27"/>
        <v/>
      </c>
      <c r="T50" s="24" t="str">
        <f>IF(T48&gt;0,T7,"")</f>
        <v/>
      </c>
      <c r="U50" s="24" t="str">
        <f t="shared" si="27"/>
        <v/>
      </c>
      <c r="V50" s="24" t="str">
        <f t="shared" si="27"/>
        <v/>
      </c>
      <c r="W50" s="24" t="str">
        <f t="shared" si="27"/>
        <v/>
      </c>
      <c r="X50" s="24" t="str">
        <f t="shared" si="27"/>
        <v/>
      </c>
      <c r="Y50" s="24" t="str">
        <f t="shared" si="27"/>
        <v/>
      </c>
      <c r="Z50" s="24" t="str">
        <f t="shared" si="27"/>
        <v/>
      </c>
      <c r="AA50" s="24" t="str">
        <f t="shared" si="27"/>
        <v/>
      </c>
      <c r="AB50" s="24">
        <f t="shared" si="27"/>
        <v>16</v>
      </c>
      <c r="AC50" s="24">
        <f t="shared" si="27"/>
        <v>17</v>
      </c>
      <c r="AD50" s="24">
        <f t="shared" si="27"/>
        <v>18</v>
      </c>
      <c r="AE50" s="24">
        <f t="shared" si="27"/>
        <v>19</v>
      </c>
      <c r="AF50" s="24">
        <f t="shared" si="27"/>
        <v>20</v>
      </c>
      <c r="AG50" s="24">
        <f t="shared" si="27"/>
        <v>21</v>
      </c>
      <c r="AH50" s="24">
        <f t="shared" si="27"/>
        <v>22</v>
      </c>
      <c r="AI50" s="24">
        <f t="shared" si="27"/>
        <v>23</v>
      </c>
      <c r="AJ50" s="24">
        <f t="shared" si="27"/>
        <v>24</v>
      </c>
      <c r="AK50" s="24">
        <f t="shared" si="27"/>
        <v>25</v>
      </c>
      <c r="AL50" s="24">
        <f t="shared" si="27"/>
        <v>26</v>
      </c>
      <c r="AM50" s="24">
        <f t="shared" si="27"/>
        <v>27</v>
      </c>
      <c r="AN50" s="24">
        <f t="shared" si="27"/>
        <v>28</v>
      </c>
      <c r="AO50" s="24">
        <f t="shared" si="27"/>
        <v>29</v>
      </c>
      <c r="AP50" s="24">
        <f t="shared" si="27"/>
        <v>30</v>
      </c>
    </row>
    <row r="51" spans="1:42" x14ac:dyDescent="0.2">
      <c r="A51" s="40" t="s">
        <v>111</v>
      </c>
      <c r="B51" s="21" t="s">
        <v>51</v>
      </c>
      <c r="C51" s="32">
        <v>0</v>
      </c>
      <c r="D51" s="21" t="s">
        <v>6</v>
      </c>
    </row>
    <row r="52" spans="1:42" x14ac:dyDescent="0.2">
      <c r="A52" s="41"/>
      <c r="B52" s="42" t="s">
        <v>88</v>
      </c>
      <c r="C52" s="51" t="s">
        <v>64</v>
      </c>
      <c r="D52" s="42" t="s">
        <v>47</v>
      </c>
    </row>
    <row r="53" spans="1:42" ht="15" x14ac:dyDescent="0.25">
      <c r="A53" s="43" t="s">
        <v>112</v>
      </c>
      <c r="B53" s="42" t="s">
        <v>113</v>
      </c>
      <c r="C53" s="55">
        <v>0.04</v>
      </c>
      <c r="D53" s="42" t="s">
        <v>6</v>
      </c>
      <c r="F53" s="9"/>
      <c r="G53" s="9"/>
      <c r="H53" s="9"/>
      <c r="I53" s="9"/>
    </row>
    <row r="54" spans="1:42" ht="15" x14ac:dyDescent="0.25">
      <c r="A54" s="110" t="s">
        <v>163</v>
      </c>
      <c r="B54" s="21" t="s">
        <v>127</v>
      </c>
      <c r="C54" s="22" t="s">
        <v>128</v>
      </c>
      <c r="D54" s="21"/>
      <c r="F54" s="9"/>
      <c r="G54" s="9"/>
      <c r="H54" s="9"/>
      <c r="I54" s="9"/>
    </row>
    <row r="55" spans="1:42" ht="15" x14ac:dyDescent="0.25">
      <c r="A55" s="40" t="s">
        <v>164</v>
      </c>
      <c r="B55" s="21" t="s">
        <v>129</v>
      </c>
      <c r="C55" s="75">
        <v>19551</v>
      </c>
      <c r="D55" s="44" t="s">
        <v>58</v>
      </c>
      <c r="F55" s="9"/>
      <c r="G55" s="9"/>
      <c r="H55" s="9"/>
      <c r="I55" s="9"/>
    </row>
    <row r="56" spans="1:42" ht="15" x14ac:dyDescent="0.25">
      <c r="A56" s="40" t="s">
        <v>125</v>
      </c>
      <c r="B56" s="21" t="s">
        <v>130</v>
      </c>
      <c r="C56" s="75">
        <v>20108</v>
      </c>
      <c r="D56" s="44" t="s">
        <v>58</v>
      </c>
      <c r="F56" s="9"/>
      <c r="G56" s="9"/>
      <c r="H56" s="9"/>
      <c r="I56" s="9"/>
    </row>
    <row r="57" spans="1:42" ht="15" x14ac:dyDescent="0.25">
      <c r="A57" s="40"/>
      <c r="B57" s="45" t="s">
        <v>131</v>
      </c>
      <c r="C57" s="75">
        <v>26105</v>
      </c>
      <c r="D57" s="44" t="s">
        <v>58</v>
      </c>
      <c r="F57" s="9"/>
      <c r="G57" s="9"/>
      <c r="H57" s="9"/>
      <c r="I57" s="9"/>
    </row>
    <row r="58" spans="1:42" ht="15" x14ac:dyDescent="0.25">
      <c r="A58" s="40"/>
      <c r="B58" s="45" t="s">
        <v>132</v>
      </c>
      <c r="C58" s="75">
        <v>28000</v>
      </c>
      <c r="D58" s="44" t="s">
        <v>58</v>
      </c>
      <c r="F58" s="9"/>
      <c r="G58" s="9"/>
      <c r="H58" s="9"/>
      <c r="I58" s="9"/>
    </row>
    <row r="59" spans="1:42" ht="15" x14ac:dyDescent="0.25">
      <c r="A59" s="40"/>
      <c r="B59" s="45" t="s">
        <v>133</v>
      </c>
      <c r="C59" s="75">
        <v>29849</v>
      </c>
      <c r="D59" s="44" t="s">
        <v>58</v>
      </c>
      <c r="F59" s="9"/>
      <c r="G59" s="9"/>
      <c r="H59" s="9"/>
      <c r="I59" s="9"/>
    </row>
    <row r="60" spans="1:42" ht="15" x14ac:dyDescent="0.25">
      <c r="A60" s="40"/>
      <c r="B60" s="45" t="s">
        <v>134</v>
      </c>
      <c r="C60" s="75">
        <v>29757</v>
      </c>
      <c r="D60" s="44" t="s">
        <v>58</v>
      </c>
      <c r="F60" s="9"/>
      <c r="G60" s="9"/>
      <c r="H60" s="9"/>
      <c r="I60" s="9"/>
      <c r="K60" s="5"/>
      <c r="N60" s="4"/>
      <c r="O60" s="5"/>
    </row>
    <row r="61" spans="1:42" ht="15" x14ac:dyDescent="0.25">
      <c r="A61" s="40"/>
      <c r="B61" s="45" t="s">
        <v>135</v>
      </c>
      <c r="C61" s="75">
        <v>30518</v>
      </c>
      <c r="D61" s="44" t="s">
        <v>58</v>
      </c>
      <c r="F61" s="9"/>
      <c r="G61" s="9"/>
      <c r="H61" s="9"/>
      <c r="I61" s="9"/>
      <c r="N61" s="4"/>
      <c r="O61" s="5"/>
    </row>
    <row r="62" spans="1:42" ht="15" x14ac:dyDescent="0.25">
      <c r="A62" s="40"/>
      <c r="B62" s="45" t="s">
        <v>136</v>
      </c>
      <c r="C62" s="75">
        <v>28990</v>
      </c>
      <c r="D62" s="44" t="s">
        <v>58</v>
      </c>
      <c r="F62" s="9"/>
      <c r="G62" s="9"/>
      <c r="H62" s="9"/>
      <c r="I62" s="9"/>
      <c r="K62" s="7"/>
      <c r="L62" s="8"/>
      <c r="N62" s="4"/>
      <c r="O62" s="5"/>
    </row>
    <row r="63" spans="1:42" ht="15" x14ac:dyDescent="0.25">
      <c r="A63" s="40"/>
      <c r="B63" s="45" t="s">
        <v>137</v>
      </c>
      <c r="C63" s="75">
        <v>25110</v>
      </c>
      <c r="D63" s="44" t="s">
        <v>58</v>
      </c>
      <c r="F63" s="9"/>
      <c r="G63" s="9"/>
      <c r="H63" s="9"/>
      <c r="I63" s="9"/>
      <c r="K63" s="7"/>
      <c r="L63" s="8"/>
      <c r="N63" s="4"/>
      <c r="O63" s="5"/>
    </row>
    <row r="64" spans="1:42" ht="15" x14ac:dyDescent="0.25">
      <c r="A64" s="40"/>
      <c r="B64" s="45" t="s">
        <v>138</v>
      </c>
      <c r="C64" s="75">
        <v>24498</v>
      </c>
      <c r="D64" s="44" t="s">
        <v>58</v>
      </c>
      <c r="F64" s="9"/>
      <c r="G64" s="9"/>
      <c r="H64" s="9"/>
      <c r="I64" s="9"/>
      <c r="J64" s="9"/>
      <c r="K64" s="7"/>
      <c r="L64" s="8"/>
      <c r="N64" s="4"/>
      <c r="O64" s="5"/>
    </row>
    <row r="65" spans="1:15" ht="15" x14ac:dyDescent="0.25">
      <c r="A65" s="40"/>
      <c r="B65" s="45" t="s">
        <v>139</v>
      </c>
      <c r="C65" s="75">
        <v>19258</v>
      </c>
      <c r="D65" s="44" t="s">
        <v>58</v>
      </c>
      <c r="F65" s="9"/>
      <c r="G65" s="9"/>
      <c r="H65" s="9"/>
      <c r="I65" s="9"/>
      <c r="J65" s="9"/>
      <c r="K65" s="7"/>
      <c r="L65" s="8"/>
      <c r="N65" s="4"/>
      <c r="O65" s="5"/>
    </row>
    <row r="66" spans="1:15" ht="15" x14ac:dyDescent="0.25">
      <c r="A66" s="40"/>
      <c r="B66" s="45" t="s">
        <v>140</v>
      </c>
      <c r="C66" s="80">
        <v>18249</v>
      </c>
      <c r="D66" s="44" t="s">
        <v>58</v>
      </c>
      <c r="F66" s="9"/>
      <c r="G66" s="9"/>
      <c r="H66" s="9"/>
      <c r="I66" s="9"/>
      <c r="J66" s="9"/>
      <c r="K66" s="7"/>
      <c r="L66" s="8"/>
      <c r="N66" s="4"/>
      <c r="O66" s="5"/>
    </row>
    <row r="67" spans="1:15" ht="15" x14ac:dyDescent="0.25">
      <c r="A67" s="40"/>
      <c r="B67" s="45" t="s">
        <v>141</v>
      </c>
      <c r="C67" s="75">
        <v>299993</v>
      </c>
      <c r="D67" s="44" t="s">
        <v>58</v>
      </c>
      <c r="J67" s="9"/>
      <c r="K67" s="7"/>
      <c r="L67" s="8"/>
      <c r="N67" s="4"/>
      <c r="O67" s="5"/>
    </row>
    <row r="68" spans="1:15" ht="15" x14ac:dyDescent="0.25">
      <c r="J68" s="9"/>
      <c r="K68" s="7"/>
      <c r="L68" s="8"/>
      <c r="N68" s="4"/>
      <c r="O68" s="5"/>
    </row>
    <row r="69" spans="1:15" ht="15" x14ac:dyDescent="0.25">
      <c r="J69" s="9"/>
      <c r="K69" s="7"/>
      <c r="L69" s="8"/>
      <c r="N69" s="4"/>
      <c r="O69" s="5"/>
    </row>
    <row r="70" spans="1:15" ht="15" x14ac:dyDescent="0.25">
      <c r="J70" s="9"/>
      <c r="K70" s="7"/>
      <c r="L70" s="8"/>
      <c r="N70" s="4"/>
      <c r="O70" s="5"/>
    </row>
    <row r="71" spans="1:15" ht="15" x14ac:dyDescent="0.25">
      <c r="J71" s="9"/>
      <c r="K71" s="7"/>
      <c r="L71" s="8"/>
      <c r="M71" s="8"/>
    </row>
    <row r="72" spans="1:15" ht="15" x14ac:dyDescent="0.25">
      <c r="J72" s="9"/>
      <c r="K72" s="7"/>
      <c r="L72" s="8"/>
      <c r="M72" s="8"/>
    </row>
    <row r="73" spans="1:15" ht="15" x14ac:dyDescent="0.25">
      <c r="J73" s="9"/>
      <c r="K73" s="7"/>
      <c r="L73" s="8"/>
      <c r="M73" s="8"/>
    </row>
    <row r="74" spans="1:15" ht="15" x14ac:dyDescent="0.25">
      <c r="J74" s="9"/>
      <c r="K74" s="7"/>
      <c r="L74" s="8"/>
      <c r="M74" s="8"/>
    </row>
    <row r="75" spans="1:15" ht="15" x14ac:dyDescent="0.25">
      <c r="J75" s="9"/>
      <c r="K75" s="7"/>
      <c r="L75" s="8"/>
      <c r="M75" s="8"/>
    </row>
    <row r="76" spans="1:15" ht="15" x14ac:dyDescent="0.25">
      <c r="J76" s="9"/>
      <c r="K76" s="7"/>
      <c r="L76" s="8"/>
      <c r="M76" s="8"/>
    </row>
    <row r="77" spans="1:15" ht="15" x14ac:dyDescent="0.25">
      <c r="J77" s="9"/>
      <c r="K77" s="7"/>
      <c r="L77" s="8"/>
      <c r="M77" s="8"/>
    </row>
    <row r="78" spans="1:15" x14ac:dyDescent="0.2">
      <c r="K78" s="7"/>
      <c r="L78" s="8"/>
      <c r="M78" s="8"/>
    </row>
    <row r="79" spans="1:15" x14ac:dyDescent="0.2">
      <c r="K79" s="7"/>
      <c r="L79" s="8"/>
      <c r="M79" s="8"/>
    </row>
  </sheetData>
  <hyperlinks>
    <hyperlink ref="F40" r:id="rId1"/>
    <hyperlink ref="F34" r:id="rId2"/>
    <hyperlink ref="F26" r:id="rId3" display="(from NREL JEDI model) "/>
    <hyperlink ref="A54" r:id="rId4"/>
    <hyperlink ref="B39" r:id="rId5"/>
  </hyperlinks>
  <pageMargins left="0.7" right="0.7" top="0.75" bottom="0.75" header="0.3" footer="0.3"/>
  <pageSetup orientation="portrait" r:id="rId6"/>
  <drawing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0"/>
  <sheetViews>
    <sheetView zoomScaleNormal="100" workbookViewId="0">
      <selection activeCell="A29" sqref="A29"/>
    </sheetView>
  </sheetViews>
  <sheetFormatPr defaultColWidth="9.140625" defaultRowHeight="12.75" x14ac:dyDescent="0.2"/>
  <cols>
    <col min="1" max="1" width="14.42578125" style="2" customWidth="1"/>
    <col min="2" max="2" width="28" style="2" customWidth="1"/>
    <col min="3" max="3" width="11" style="2" bestFit="1" customWidth="1"/>
    <col min="4" max="4" width="17.42578125" style="2" bestFit="1" customWidth="1"/>
    <col min="5" max="5" width="7.28515625" style="2" customWidth="1"/>
    <col min="6" max="6" width="12.7109375" style="2" customWidth="1"/>
    <col min="7" max="7" width="18" style="2" customWidth="1"/>
    <col min="8" max="8" width="12.7109375" style="2" customWidth="1"/>
    <col min="9" max="9" width="29.42578125" style="2" customWidth="1"/>
    <col min="10" max="10" width="8.85546875" style="2" customWidth="1"/>
    <col min="11" max="11" width="22.5703125" style="2" customWidth="1"/>
    <col min="12" max="12" width="10.5703125" style="2" customWidth="1"/>
    <col min="13" max="42" width="11.5703125" style="2" customWidth="1"/>
    <col min="43" max="16384" width="9.140625" style="2"/>
  </cols>
  <sheetData>
    <row r="1" spans="1:42" ht="26.25" x14ac:dyDescent="0.4">
      <c r="A1" s="79" t="s">
        <v>186</v>
      </c>
      <c r="D1" s="3"/>
      <c r="E1" s="3"/>
      <c r="F1" s="3"/>
      <c r="G1" s="3"/>
      <c r="H1" s="3"/>
    </row>
    <row r="2" spans="1:42" ht="21" x14ac:dyDescent="0.35">
      <c r="A2" s="56" t="s">
        <v>213</v>
      </c>
      <c r="D2" s="3"/>
      <c r="E2" s="3"/>
      <c r="F2" s="3"/>
      <c r="G2" s="3"/>
      <c r="H2" s="3"/>
    </row>
    <row r="3" spans="1:42" ht="10.5" customHeight="1" x14ac:dyDescent="0.35">
      <c r="A3" s="17"/>
      <c r="D3" s="3"/>
      <c r="E3" s="3"/>
      <c r="F3" s="3"/>
      <c r="G3" s="3"/>
      <c r="H3" s="3"/>
    </row>
    <row r="4" spans="1:42" ht="21" x14ac:dyDescent="0.35">
      <c r="A4" s="57" t="s">
        <v>187</v>
      </c>
      <c r="B4" s="57"/>
      <c r="C4" s="57"/>
      <c r="D4" s="57"/>
      <c r="E4" s="12"/>
      <c r="F4" s="57" t="s">
        <v>188</v>
      </c>
      <c r="G4" s="57"/>
      <c r="H4" s="12"/>
      <c r="I4" s="11"/>
      <c r="J4" s="11"/>
      <c r="K4" s="57" t="s">
        <v>189</v>
      </c>
    </row>
    <row r="5" spans="1:42" ht="15.75" x14ac:dyDescent="0.25">
      <c r="A5" s="16" t="s">
        <v>104</v>
      </c>
      <c r="B5" s="16" t="s">
        <v>167</v>
      </c>
      <c r="C5" s="16" t="s">
        <v>1</v>
      </c>
      <c r="D5" s="16" t="s">
        <v>2</v>
      </c>
      <c r="E5" s="14"/>
      <c r="F5" s="13" t="s">
        <v>104</v>
      </c>
      <c r="G5" s="13" t="s">
        <v>167</v>
      </c>
      <c r="H5" s="13" t="s">
        <v>1</v>
      </c>
      <c r="I5" s="13" t="s">
        <v>2</v>
      </c>
      <c r="J5" s="15"/>
    </row>
    <row r="6" spans="1:42" ht="12.75" customHeight="1" x14ac:dyDescent="0.25">
      <c r="A6" s="39" t="s">
        <v>101</v>
      </c>
      <c r="B6" s="21" t="s">
        <v>76</v>
      </c>
      <c r="C6" s="27">
        <v>2500</v>
      </c>
      <c r="D6" s="21" t="s">
        <v>0</v>
      </c>
      <c r="F6" s="18" t="s">
        <v>119</v>
      </c>
      <c r="G6" s="58"/>
      <c r="H6" s="58"/>
      <c r="I6" s="58"/>
      <c r="K6" s="81"/>
      <c r="L6" s="82"/>
      <c r="M6" s="83" t="s">
        <v>4</v>
      </c>
      <c r="N6" s="84" t="s">
        <v>5</v>
      </c>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ht="12.75" customHeight="1" x14ac:dyDescent="0.25">
      <c r="A7" s="40"/>
      <c r="B7" s="21" t="s">
        <v>78</v>
      </c>
      <c r="C7" s="28">
        <v>0</v>
      </c>
      <c r="D7" s="21" t="s">
        <v>59</v>
      </c>
      <c r="F7" s="59" t="s">
        <v>177</v>
      </c>
      <c r="G7" s="60"/>
      <c r="H7" s="60"/>
      <c r="I7" s="60"/>
      <c r="K7" s="85"/>
      <c r="L7" s="86">
        <v>0</v>
      </c>
      <c r="M7" s="87">
        <v>1</v>
      </c>
      <c r="N7" s="87">
        <v>2</v>
      </c>
      <c r="O7" s="87">
        <v>3</v>
      </c>
      <c r="P7" s="87">
        <v>4</v>
      </c>
      <c r="Q7" s="87">
        <v>5</v>
      </c>
      <c r="R7" s="87">
        <v>6</v>
      </c>
      <c r="S7" s="87">
        <v>7</v>
      </c>
      <c r="T7" s="87">
        <v>8</v>
      </c>
      <c r="U7" s="87">
        <v>9</v>
      </c>
      <c r="V7" s="87">
        <v>10</v>
      </c>
      <c r="W7" s="87">
        <v>11</v>
      </c>
      <c r="X7" s="87">
        <v>12</v>
      </c>
      <c r="Y7" s="87">
        <v>13</v>
      </c>
      <c r="Z7" s="87">
        <v>14</v>
      </c>
      <c r="AA7" s="87">
        <v>15</v>
      </c>
      <c r="AB7" s="87">
        <v>16</v>
      </c>
      <c r="AC7" s="87">
        <v>17</v>
      </c>
      <c r="AD7" s="87">
        <v>18</v>
      </c>
      <c r="AE7" s="87">
        <v>19</v>
      </c>
      <c r="AF7" s="87">
        <v>20</v>
      </c>
      <c r="AG7" s="87">
        <v>21</v>
      </c>
      <c r="AH7" s="87">
        <v>22</v>
      </c>
      <c r="AI7" s="87">
        <v>23</v>
      </c>
      <c r="AJ7" s="87">
        <v>24</v>
      </c>
      <c r="AK7" s="87">
        <v>25</v>
      </c>
      <c r="AL7" s="87">
        <v>26</v>
      </c>
      <c r="AM7" s="87">
        <v>27</v>
      </c>
      <c r="AN7" s="87">
        <v>28</v>
      </c>
      <c r="AO7" s="87">
        <v>29</v>
      </c>
      <c r="AP7" s="87">
        <v>30</v>
      </c>
    </row>
    <row r="8" spans="1:42" ht="12.75" customHeight="1" x14ac:dyDescent="0.2">
      <c r="A8" s="41"/>
      <c r="B8" s="42" t="s">
        <v>78</v>
      </c>
      <c r="C8" s="48">
        <v>0</v>
      </c>
      <c r="D8" s="42" t="s">
        <v>58</v>
      </c>
      <c r="F8" s="61" t="s">
        <v>168</v>
      </c>
      <c r="G8" s="18" t="s">
        <v>55</v>
      </c>
      <c r="H8" s="62" t="str">
        <f>IFERROR(IRR(L48:AF48), "NA")</f>
        <v>NA</v>
      </c>
      <c r="I8" s="18" t="s">
        <v>6</v>
      </c>
      <c r="K8" s="24" t="s">
        <v>92</v>
      </c>
      <c r="L8" s="24"/>
      <c r="M8" s="23">
        <f t="shared" ref="M8:AP8" si="0">$C25*(1-$C$26)^L$7</f>
        <v>4636072</v>
      </c>
      <c r="N8" s="23">
        <f t="shared" si="0"/>
        <v>4612891.6399999997</v>
      </c>
      <c r="O8" s="23">
        <f t="shared" si="0"/>
        <v>4589827.1818000004</v>
      </c>
      <c r="P8" s="23">
        <f t="shared" si="0"/>
        <v>4566878.045891</v>
      </c>
      <c r="Q8" s="23">
        <f t="shared" si="0"/>
        <v>4544043.6556615457</v>
      </c>
      <c r="R8" s="23">
        <f t="shared" si="0"/>
        <v>4521323.4373832373</v>
      </c>
      <c r="S8" s="23">
        <f t="shared" si="0"/>
        <v>4498716.8201963212</v>
      </c>
      <c r="T8" s="23">
        <f t="shared" si="0"/>
        <v>4476223.23609534</v>
      </c>
      <c r="U8" s="23">
        <f t="shared" si="0"/>
        <v>4453842.1199148633</v>
      </c>
      <c r="V8" s="23">
        <f t="shared" si="0"/>
        <v>4431572.909315289</v>
      </c>
      <c r="W8" s="23">
        <f t="shared" si="0"/>
        <v>4409415.0447687125</v>
      </c>
      <c r="X8" s="23">
        <f t="shared" si="0"/>
        <v>4387367.9695448689</v>
      </c>
      <c r="Y8" s="23">
        <f t="shared" si="0"/>
        <v>4365431.129697145</v>
      </c>
      <c r="Z8" s="23">
        <f t="shared" si="0"/>
        <v>4343603.9740486592</v>
      </c>
      <c r="AA8" s="23">
        <f t="shared" si="0"/>
        <v>4321885.9541784162</v>
      </c>
      <c r="AB8" s="23">
        <f t="shared" si="0"/>
        <v>4300276.5244075237</v>
      </c>
      <c r="AC8" s="23">
        <f t="shared" si="0"/>
        <v>4278775.1417854857</v>
      </c>
      <c r="AD8" s="23">
        <f t="shared" si="0"/>
        <v>4257381.2660765583</v>
      </c>
      <c r="AE8" s="23">
        <f t="shared" si="0"/>
        <v>4236094.3597461758</v>
      </c>
      <c r="AF8" s="23">
        <f t="shared" si="0"/>
        <v>4214913.8879474448</v>
      </c>
      <c r="AG8" s="23">
        <f t="shared" si="0"/>
        <v>4193839.3185077077</v>
      </c>
      <c r="AH8" s="23">
        <f t="shared" si="0"/>
        <v>4172870.1219151691</v>
      </c>
      <c r="AI8" s="23">
        <f t="shared" si="0"/>
        <v>4152005.7713055937</v>
      </c>
      <c r="AJ8" s="23">
        <f t="shared" si="0"/>
        <v>4131245.7424490652</v>
      </c>
      <c r="AK8" s="23">
        <f t="shared" si="0"/>
        <v>4110589.5137368203</v>
      </c>
      <c r="AL8" s="23">
        <f t="shared" si="0"/>
        <v>4090036.566168136</v>
      </c>
      <c r="AM8" s="23">
        <f t="shared" si="0"/>
        <v>4069586.3833372956</v>
      </c>
      <c r="AN8" s="23">
        <f t="shared" si="0"/>
        <v>4049238.4514206089</v>
      </c>
      <c r="AO8" s="23">
        <f t="shared" si="0"/>
        <v>4028992.2591635063</v>
      </c>
      <c r="AP8" s="23">
        <f t="shared" si="0"/>
        <v>4008847.2978676893</v>
      </c>
    </row>
    <row r="9" spans="1:42" x14ac:dyDescent="0.2">
      <c r="A9" s="40" t="s">
        <v>102</v>
      </c>
      <c r="B9" s="21" t="s">
        <v>80</v>
      </c>
      <c r="C9" s="29">
        <f>2*C6*1000</f>
        <v>5000000</v>
      </c>
      <c r="D9" s="21" t="s">
        <v>3</v>
      </c>
      <c r="F9" s="61" t="s">
        <v>169</v>
      </c>
      <c r="G9" s="18" t="s">
        <v>40</v>
      </c>
      <c r="H9" s="20">
        <f>IF(MIN(K51:AD51)&gt;19, "20+",MIN(K51:AD51))</f>
        <v>1</v>
      </c>
      <c r="I9" s="18" t="s">
        <v>70</v>
      </c>
      <c r="K9" s="24" t="s">
        <v>25</v>
      </c>
      <c r="L9" s="24"/>
      <c r="M9" s="23">
        <f t="shared" ref="M9:AP9" si="1">M8*(1-$C27)</f>
        <v>4172464.8000000003</v>
      </c>
      <c r="N9" s="23">
        <f t="shared" si="1"/>
        <v>4151602.4759999998</v>
      </c>
      <c r="O9" s="23">
        <f t="shared" si="1"/>
        <v>4130844.4636200005</v>
      </c>
      <c r="P9" s="23">
        <f t="shared" si="1"/>
        <v>4110190.2413019002</v>
      </c>
      <c r="Q9" s="23">
        <f t="shared" si="1"/>
        <v>4089639.2900953912</v>
      </c>
      <c r="R9" s="23">
        <f t="shared" si="1"/>
        <v>4069191.0936449138</v>
      </c>
      <c r="S9" s="23">
        <f t="shared" si="1"/>
        <v>4048845.1381766894</v>
      </c>
      <c r="T9" s="23">
        <f t="shared" si="1"/>
        <v>4028600.9124858063</v>
      </c>
      <c r="U9" s="23">
        <f t="shared" si="1"/>
        <v>4008457.9079233771</v>
      </c>
      <c r="V9" s="23">
        <f t="shared" si="1"/>
        <v>3988415.6183837601</v>
      </c>
      <c r="W9" s="23">
        <f t="shared" si="1"/>
        <v>3968473.5402918411</v>
      </c>
      <c r="X9" s="23">
        <f t="shared" si="1"/>
        <v>3948631.1725903819</v>
      </c>
      <c r="Y9" s="23">
        <f t="shared" si="1"/>
        <v>3928888.0167274307</v>
      </c>
      <c r="Z9" s="23">
        <f t="shared" si="1"/>
        <v>3909243.5766437934</v>
      </c>
      <c r="AA9" s="23">
        <f t="shared" si="1"/>
        <v>3889697.3587605748</v>
      </c>
      <c r="AB9" s="23">
        <f t="shared" si="1"/>
        <v>3870248.8719667713</v>
      </c>
      <c r="AC9" s="23">
        <f t="shared" si="1"/>
        <v>3850897.6276069372</v>
      </c>
      <c r="AD9" s="23">
        <f t="shared" si="1"/>
        <v>3831643.1394689027</v>
      </c>
      <c r="AE9" s="23">
        <f t="shared" si="1"/>
        <v>3812484.9237715583</v>
      </c>
      <c r="AF9" s="23">
        <f t="shared" si="1"/>
        <v>3793422.4991527004</v>
      </c>
      <c r="AG9" s="23">
        <f t="shared" si="1"/>
        <v>3774455.3866569372</v>
      </c>
      <c r="AH9" s="23">
        <f t="shared" si="1"/>
        <v>3755583.1097236522</v>
      </c>
      <c r="AI9" s="23">
        <f t="shared" si="1"/>
        <v>3736805.1941750343</v>
      </c>
      <c r="AJ9" s="23">
        <f t="shared" si="1"/>
        <v>3718121.1682041585</v>
      </c>
      <c r="AK9" s="23">
        <f t="shared" si="1"/>
        <v>3699530.5623631384</v>
      </c>
      <c r="AL9" s="23">
        <f t="shared" si="1"/>
        <v>3681032.9095513225</v>
      </c>
      <c r="AM9" s="23">
        <f t="shared" si="1"/>
        <v>3662627.7450035661</v>
      </c>
      <c r="AN9" s="23">
        <f t="shared" si="1"/>
        <v>3644314.606278548</v>
      </c>
      <c r="AO9" s="23">
        <f t="shared" si="1"/>
        <v>3626093.0332471556</v>
      </c>
      <c r="AP9" s="23">
        <f t="shared" si="1"/>
        <v>3607962.5680809203</v>
      </c>
    </row>
    <row r="10" spans="1:42" x14ac:dyDescent="0.2">
      <c r="A10" s="41"/>
      <c r="B10" s="42" t="s">
        <v>81</v>
      </c>
      <c r="C10" s="49">
        <f>C8/6.4*6500</f>
        <v>0</v>
      </c>
      <c r="D10" s="42" t="s">
        <v>3</v>
      </c>
      <c r="F10" s="61" t="s">
        <v>176</v>
      </c>
      <c r="G10" s="18" t="s">
        <v>57</v>
      </c>
      <c r="H10" s="19">
        <f>NPV(C57,L48:AG48)</f>
        <v>802931.18536468898</v>
      </c>
      <c r="I10" s="18" t="s">
        <v>3</v>
      </c>
      <c r="J10" s="5"/>
      <c r="K10" s="24" t="s">
        <v>26</v>
      </c>
      <c r="L10" s="24"/>
      <c r="M10" s="23">
        <f t="shared" ref="M10:AP10" si="2">M8*$C27</f>
        <v>463607.2</v>
      </c>
      <c r="N10" s="23">
        <f t="shared" si="2"/>
        <v>461289.16399999999</v>
      </c>
      <c r="O10" s="23">
        <f t="shared" si="2"/>
        <v>458982.71818000008</v>
      </c>
      <c r="P10" s="23">
        <f t="shared" si="2"/>
        <v>456687.80458910001</v>
      </c>
      <c r="Q10" s="23">
        <f t="shared" si="2"/>
        <v>454404.36556615459</v>
      </c>
      <c r="R10" s="23">
        <f t="shared" si="2"/>
        <v>452132.34373832378</v>
      </c>
      <c r="S10" s="23">
        <f t="shared" si="2"/>
        <v>449871.68201963214</v>
      </c>
      <c r="T10" s="23">
        <f t="shared" si="2"/>
        <v>447622.32360953401</v>
      </c>
      <c r="U10" s="23">
        <f t="shared" si="2"/>
        <v>445384.21199148637</v>
      </c>
      <c r="V10" s="23">
        <f t="shared" si="2"/>
        <v>443157.2909315289</v>
      </c>
      <c r="W10" s="23">
        <f t="shared" si="2"/>
        <v>440941.50447687128</v>
      </c>
      <c r="X10" s="23">
        <f t="shared" si="2"/>
        <v>438736.79695448693</v>
      </c>
      <c r="Y10" s="23">
        <f t="shared" si="2"/>
        <v>436543.11296971451</v>
      </c>
      <c r="Z10" s="23">
        <f t="shared" si="2"/>
        <v>434360.39740486594</v>
      </c>
      <c r="AA10" s="23">
        <f t="shared" si="2"/>
        <v>432188.59541784163</v>
      </c>
      <c r="AB10" s="23">
        <f t="shared" si="2"/>
        <v>430027.65244075237</v>
      </c>
      <c r="AC10" s="23">
        <f t="shared" si="2"/>
        <v>427877.51417854859</v>
      </c>
      <c r="AD10" s="23">
        <f t="shared" si="2"/>
        <v>425738.12660765584</v>
      </c>
      <c r="AE10" s="23">
        <f t="shared" si="2"/>
        <v>423609.43597461761</v>
      </c>
      <c r="AF10" s="23">
        <f t="shared" si="2"/>
        <v>421491.3887947445</v>
      </c>
      <c r="AG10" s="23">
        <f t="shared" si="2"/>
        <v>419383.93185077078</v>
      </c>
      <c r="AH10" s="23">
        <f t="shared" si="2"/>
        <v>417287.01219151693</v>
      </c>
      <c r="AI10" s="23">
        <f t="shared" si="2"/>
        <v>415200.57713055937</v>
      </c>
      <c r="AJ10" s="23">
        <f t="shared" si="2"/>
        <v>413124.57424490654</v>
      </c>
      <c r="AK10" s="23">
        <f t="shared" si="2"/>
        <v>411058.95137368207</v>
      </c>
      <c r="AL10" s="23">
        <f t="shared" si="2"/>
        <v>409003.65661681362</v>
      </c>
      <c r="AM10" s="23">
        <f t="shared" si="2"/>
        <v>406958.63833372958</v>
      </c>
      <c r="AN10" s="23">
        <f t="shared" si="2"/>
        <v>404923.84514206089</v>
      </c>
      <c r="AO10" s="23">
        <f t="shared" si="2"/>
        <v>402899.22591635067</v>
      </c>
      <c r="AP10" s="23">
        <f t="shared" si="2"/>
        <v>400884.72978676896</v>
      </c>
    </row>
    <row r="11" spans="1:42" x14ac:dyDescent="0.2">
      <c r="A11" s="21" t="s">
        <v>160</v>
      </c>
      <c r="B11" s="21" t="s">
        <v>77</v>
      </c>
      <c r="C11" s="29">
        <f>0.25*C6*1000</f>
        <v>625000</v>
      </c>
      <c r="D11" s="21" t="s">
        <v>3</v>
      </c>
      <c r="F11" s="59"/>
      <c r="G11" s="59" t="s">
        <v>118</v>
      </c>
      <c r="H11" s="63">
        <f>NPV($C72,M31:AP31)/-NPV($C72,M40:AP40)</f>
        <v>1.6846564275719782</v>
      </c>
      <c r="I11" s="59"/>
      <c r="K11" s="24"/>
      <c r="L11" s="24"/>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row>
    <row r="12" spans="1:42" x14ac:dyDescent="0.2">
      <c r="A12" s="40" t="s">
        <v>159</v>
      </c>
      <c r="B12" s="21" t="s">
        <v>9</v>
      </c>
      <c r="C12" s="29">
        <v>0</v>
      </c>
      <c r="D12" s="21" t="s">
        <v>3</v>
      </c>
      <c r="F12" s="18" t="s">
        <v>170</v>
      </c>
      <c r="G12" s="18"/>
      <c r="H12" s="18"/>
      <c r="I12" s="18"/>
      <c r="K12" s="24" t="s">
        <v>13</v>
      </c>
      <c r="L12" s="25">
        <f>IF(C21="Yes",0,-SUM(C9:C10))</f>
        <v>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ht="12.75" customHeight="1" x14ac:dyDescent="0.2">
      <c r="A13" s="40"/>
      <c r="B13" s="21" t="s">
        <v>198</v>
      </c>
      <c r="C13" s="30">
        <v>0.3</v>
      </c>
      <c r="D13" s="21" t="s">
        <v>6</v>
      </c>
      <c r="F13" s="18"/>
      <c r="G13" s="18"/>
      <c r="H13" s="18"/>
      <c r="I13" s="18"/>
      <c r="K13" s="24" t="s">
        <v>75</v>
      </c>
      <c r="L13" s="25">
        <f>IF(C21="Yes",0, C11)</f>
        <v>0</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x14ac:dyDescent="0.2">
      <c r="A14" s="41"/>
      <c r="B14" s="42" t="s">
        <v>197</v>
      </c>
      <c r="C14" s="50" t="s">
        <v>64</v>
      </c>
      <c r="D14" s="42" t="s">
        <v>103</v>
      </c>
      <c r="F14" s="18"/>
      <c r="G14" s="18"/>
      <c r="H14" s="18"/>
      <c r="I14" s="18"/>
      <c r="K14" s="24" t="s">
        <v>10</v>
      </c>
      <c r="L14" s="25">
        <f>IF(C21="Yes",0,C12)</f>
        <v>0</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x14ac:dyDescent="0.2">
      <c r="A15" s="40" t="s">
        <v>42</v>
      </c>
      <c r="B15" s="21" t="s">
        <v>42</v>
      </c>
      <c r="C15" s="31" t="s">
        <v>64</v>
      </c>
      <c r="D15" s="21" t="s">
        <v>47</v>
      </c>
      <c r="F15" s="18"/>
      <c r="G15" s="18"/>
      <c r="H15" s="18"/>
      <c r="I15" s="18"/>
      <c r="K15" s="24" t="s">
        <v>11</v>
      </c>
      <c r="L15" s="47">
        <f>IF(C14="No",0, IF(C21="Yes",0,C13*(C9-C11)))</f>
        <v>0</v>
      </c>
      <c r="M15" s="47">
        <f>C13</f>
        <v>0.3</v>
      </c>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row>
    <row r="16" spans="1:42" x14ac:dyDescent="0.2">
      <c r="A16" s="40"/>
      <c r="B16" s="21" t="s">
        <v>43</v>
      </c>
      <c r="C16" s="32">
        <v>1</v>
      </c>
      <c r="D16" s="21" t="s">
        <v>6</v>
      </c>
      <c r="F16" s="18"/>
      <c r="G16" s="18"/>
      <c r="H16" s="18"/>
      <c r="I16" s="18"/>
      <c r="K16" s="26" t="s">
        <v>28</v>
      </c>
      <c r="L16" s="25">
        <f t="shared" ref="L16" si="3">SUM(L12:L15)</f>
        <v>0</v>
      </c>
      <c r="M16" s="25">
        <f t="shared" ref="M16:AP16" si="4">SUM(M12:M15)</f>
        <v>0.3</v>
      </c>
      <c r="N16" s="25">
        <f t="shared" si="4"/>
        <v>0</v>
      </c>
      <c r="O16" s="25">
        <f t="shared" si="4"/>
        <v>0</v>
      </c>
      <c r="P16" s="25">
        <f t="shared" si="4"/>
        <v>0</v>
      </c>
      <c r="Q16" s="25">
        <f t="shared" si="4"/>
        <v>0</v>
      </c>
      <c r="R16" s="25">
        <f t="shared" si="4"/>
        <v>0</v>
      </c>
      <c r="S16" s="25">
        <f t="shared" si="4"/>
        <v>0</v>
      </c>
      <c r="T16" s="25">
        <f t="shared" si="4"/>
        <v>0</v>
      </c>
      <c r="U16" s="25">
        <f t="shared" si="4"/>
        <v>0</v>
      </c>
      <c r="V16" s="25">
        <f t="shared" si="4"/>
        <v>0</v>
      </c>
      <c r="W16" s="25">
        <f t="shared" si="4"/>
        <v>0</v>
      </c>
      <c r="X16" s="25">
        <f t="shared" si="4"/>
        <v>0</v>
      </c>
      <c r="Y16" s="25">
        <f t="shared" si="4"/>
        <v>0</v>
      </c>
      <c r="Z16" s="25">
        <f t="shared" si="4"/>
        <v>0</v>
      </c>
      <c r="AA16" s="25">
        <f t="shared" si="4"/>
        <v>0</v>
      </c>
      <c r="AB16" s="25">
        <f t="shared" si="4"/>
        <v>0</v>
      </c>
      <c r="AC16" s="25">
        <f t="shared" si="4"/>
        <v>0</v>
      </c>
      <c r="AD16" s="25">
        <f t="shared" si="4"/>
        <v>0</v>
      </c>
      <c r="AE16" s="25">
        <f t="shared" si="4"/>
        <v>0</v>
      </c>
      <c r="AF16" s="25">
        <f t="shared" si="4"/>
        <v>0</v>
      </c>
      <c r="AG16" s="25">
        <f t="shared" si="4"/>
        <v>0</v>
      </c>
      <c r="AH16" s="25">
        <f t="shared" si="4"/>
        <v>0</v>
      </c>
      <c r="AI16" s="25">
        <f t="shared" si="4"/>
        <v>0</v>
      </c>
      <c r="AJ16" s="25">
        <f t="shared" si="4"/>
        <v>0</v>
      </c>
      <c r="AK16" s="25">
        <f t="shared" si="4"/>
        <v>0</v>
      </c>
      <c r="AL16" s="25">
        <f t="shared" si="4"/>
        <v>0</v>
      </c>
      <c r="AM16" s="25">
        <f t="shared" si="4"/>
        <v>0</v>
      </c>
      <c r="AN16" s="25">
        <f t="shared" si="4"/>
        <v>0</v>
      </c>
      <c r="AO16" s="25">
        <f t="shared" si="4"/>
        <v>0</v>
      </c>
      <c r="AP16" s="25">
        <f t="shared" si="4"/>
        <v>0</v>
      </c>
    </row>
    <row r="17" spans="1:42" x14ac:dyDescent="0.2">
      <c r="A17" s="40"/>
      <c r="B17" s="21" t="s">
        <v>44</v>
      </c>
      <c r="C17" s="28">
        <v>20</v>
      </c>
      <c r="D17" s="21" t="s">
        <v>22</v>
      </c>
      <c r="F17" s="18"/>
      <c r="G17" s="18"/>
      <c r="H17" s="18"/>
      <c r="I17" s="18"/>
      <c r="K17" s="26"/>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x14ac:dyDescent="0.2">
      <c r="A18" s="40"/>
      <c r="B18" s="21" t="s">
        <v>45</v>
      </c>
      <c r="C18" s="33">
        <v>0.04</v>
      </c>
      <c r="D18" s="21" t="s">
        <v>6</v>
      </c>
      <c r="F18" s="18"/>
      <c r="G18" s="18"/>
      <c r="H18" s="18"/>
      <c r="I18" s="18"/>
      <c r="K18" s="89" t="s">
        <v>66</v>
      </c>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x14ac:dyDescent="0.2">
      <c r="A19" s="40"/>
      <c r="B19" s="21" t="s">
        <v>60</v>
      </c>
      <c r="C19" s="32">
        <v>0.05</v>
      </c>
      <c r="D19" s="21" t="s">
        <v>6</v>
      </c>
      <c r="F19" s="18"/>
      <c r="G19" s="18"/>
      <c r="H19" s="18"/>
      <c r="I19" s="18"/>
      <c r="K19" s="26" t="s">
        <v>61</v>
      </c>
      <c r="L19" s="25">
        <f>IF(C15="No",0,C19*L16*C16)</f>
        <v>0</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x14ac:dyDescent="0.2">
      <c r="A20" s="41"/>
      <c r="B20" s="42" t="s">
        <v>63</v>
      </c>
      <c r="C20" s="51" t="s">
        <v>56</v>
      </c>
      <c r="D20" s="42" t="s">
        <v>47</v>
      </c>
      <c r="F20" s="18"/>
      <c r="G20" s="18"/>
      <c r="H20" s="18"/>
      <c r="I20" s="18"/>
      <c r="K20" s="26" t="s">
        <v>48</v>
      </c>
      <c r="L20" s="47">
        <f>IF(C15="Yes", IF(C20="Yes", -L16*C16+(-C19*L16*C16), -L16*C16), 0)</f>
        <v>0</v>
      </c>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row>
    <row r="21" spans="1:42" x14ac:dyDescent="0.2">
      <c r="A21" s="107" t="s">
        <v>150</v>
      </c>
      <c r="B21" s="108" t="s">
        <v>154</v>
      </c>
      <c r="C21" s="109" t="s">
        <v>56</v>
      </c>
      <c r="D21" s="108" t="s">
        <v>47</v>
      </c>
      <c r="F21" s="18"/>
      <c r="G21" s="18"/>
      <c r="H21" s="18"/>
      <c r="I21" s="18"/>
      <c r="K21" s="26" t="s">
        <v>49</v>
      </c>
      <c r="L21" s="25">
        <f>SUM(L16:L20)</f>
        <v>0</v>
      </c>
      <c r="M21" s="25">
        <f t="shared" ref="M21:AP21" si="5">SUM(M16:M20)</f>
        <v>0.3</v>
      </c>
      <c r="N21" s="25">
        <f t="shared" si="5"/>
        <v>0</v>
      </c>
      <c r="O21" s="25">
        <f t="shared" si="5"/>
        <v>0</v>
      </c>
      <c r="P21" s="25">
        <f t="shared" si="5"/>
        <v>0</v>
      </c>
      <c r="Q21" s="25">
        <f t="shared" si="5"/>
        <v>0</v>
      </c>
      <c r="R21" s="25">
        <f t="shared" si="5"/>
        <v>0</v>
      </c>
      <c r="S21" s="25">
        <f t="shared" si="5"/>
        <v>0</v>
      </c>
      <c r="T21" s="25">
        <f t="shared" si="5"/>
        <v>0</v>
      </c>
      <c r="U21" s="25">
        <f t="shared" si="5"/>
        <v>0</v>
      </c>
      <c r="V21" s="25">
        <f t="shared" si="5"/>
        <v>0</v>
      </c>
      <c r="W21" s="25">
        <f t="shared" si="5"/>
        <v>0</v>
      </c>
      <c r="X21" s="25">
        <f t="shared" si="5"/>
        <v>0</v>
      </c>
      <c r="Y21" s="25">
        <f t="shared" si="5"/>
        <v>0</v>
      </c>
      <c r="Z21" s="25">
        <f t="shared" si="5"/>
        <v>0</v>
      </c>
      <c r="AA21" s="25">
        <f t="shared" si="5"/>
        <v>0</v>
      </c>
      <c r="AB21" s="25">
        <f t="shared" si="5"/>
        <v>0</v>
      </c>
      <c r="AC21" s="25">
        <f t="shared" si="5"/>
        <v>0</v>
      </c>
      <c r="AD21" s="25">
        <f t="shared" si="5"/>
        <v>0</v>
      </c>
      <c r="AE21" s="25">
        <f t="shared" si="5"/>
        <v>0</v>
      </c>
      <c r="AF21" s="25">
        <f t="shared" si="5"/>
        <v>0</v>
      </c>
      <c r="AG21" s="25">
        <f t="shared" si="5"/>
        <v>0</v>
      </c>
      <c r="AH21" s="25">
        <f t="shared" si="5"/>
        <v>0</v>
      </c>
      <c r="AI21" s="25">
        <f t="shared" si="5"/>
        <v>0</v>
      </c>
      <c r="AJ21" s="25">
        <f t="shared" si="5"/>
        <v>0</v>
      </c>
      <c r="AK21" s="25">
        <f t="shared" si="5"/>
        <v>0</v>
      </c>
      <c r="AL21" s="25">
        <f t="shared" si="5"/>
        <v>0</v>
      </c>
      <c r="AM21" s="25">
        <f t="shared" si="5"/>
        <v>0</v>
      </c>
      <c r="AN21" s="25">
        <f t="shared" si="5"/>
        <v>0</v>
      </c>
      <c r="AO21" s="25">
        <f t="shared" si="5"/>
        <v>0</v>
      </c>
      <c r="AP21" s="25">
        <f t="shared" si="5"/>
        <v>0</v>
      </c>
    </row>
    <row r="22" spans="1:42" x14ac:dyDescent="0.2">
      <c r="A22" s="107"/>
      <c r="B22" s="108" t="s">
        <v>151</v>
      </c>
      <c r="C22" s="29">
        <v>27000</v>
      </c>
      <c r="D22" s="108" t="s">
        <v>153</v>
      </c>
      <c r="F22" s="18"/>
      <c r="G22" s="18"/>
      <c r="H22" s="18"/>
      <c r="I22" s="18"/>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x14ac:dyDescent="0.2">
      <c r="A23" s="107"/>
      <c r="B23" s="108" t="s">
        <v>152</v>
      </c>
      <c r="C23" s="112">
        <v>1.4999999999999999E-2</v>
      </c>
      <c r="D23" s="108" t="s">
        <v>6</v>
      </c>
      <c r="F23" s="18"/>
      <c r="G23" s="18"/>
      <c r="H23" s="18"/>
      <c r="I23" s="18"/>
      <c r="K23" s="24" t="s">
        <v>67</v>
      </c>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x14ac:dyDescent="0.2">
      <c r="A24" s="41"/>
      <c r="B24" s="42" t="s">
        <v>158</v>
      </c>
      <c r="C24" s="49">
        <v>2000000</v>
      </c>
      <c r="D24" s="42" t="s">
        <v>3</v>
      </c>
      <c r="F24" s="59"/>
      <c r="G24" s="59"/>
      <c r="H24" s="59"/>
      <c r="I24" s="59"/>
      <c r="K24" s="24" t="s">
        <v>86</v>
      </c>
      <c r="L24" s="24"/>
      <c r="M24" s="25">
        <f t="shared" ref="M24:AP24" si="6">M9*$C29*((1+$C34)^L7)+M10*$C30*((1+$C34)^L7)</f>
        <v>352341.47200000001</v>
      </c>
      <c r="N24" s="25">
        <f t="shared" si="6"/>
        <v>355838.46110959997</v>
      </c>
      <c r="O24" s="25">
        <f t="shared" si="6"/>
        <v>359370.15783611278</v>
      </c>
      <c r="P24" s="25">
        <f t="shared" si="6"/>
        <v>362936.90665263607</v>
      </c>
      <c r="Q24" s="25">
        <f t="shared" si="6"/>
        <v>366539.0554511635</v>
      </c>
      <c r="R24" s="25">
        <f t="shared" si="6"/>
        <v>370176.95557651616</v>
      </c>
      <c r="S24" s="25">
        <f t="shared" si="6"/>
        <v>373850.96186061302</v>
      </c>
      <c r="T24" s="25">
        <f t="shared" si="6"/>
        <v>377561.43265707965</v>
      </c>
      <c r="U24" s="25">
        <f t="shared" si="6"/>
        <v>381308.72987620108</v>
      </c>
      <c r="V24" s="25">
        <f t="shared" si="6"/>
        <v>385093.21902022231</v>
      </c>
      <c r="W24" s="25">
        <f t="shared" si="6"/>
        <v>388915.26921899797</v>
      </c>
      <c r="X24" s="25">
        <f t="shared" si="6"/>
        <v>392775.25326599646</v>
      </c>
      <c r="Y24" s="25">
        <f t="shared" si="6"/>
        <v>396673.54765466147</v>
      </c>
      <c r="Z24" s="25">
        <f t="shared" si="6"/>
        <v>400610.53261513397</v>
      </c>
      <c r="AA24" s="25">
        <f t="shared" si="6"/>
        <v>404586.59215133905</v>
      </c>
      <c r="AB24" s="25">
        <f t="shared" si="6"/>
        <v>408602.11407844105</v>
      </c>
      <c r="AC24" s="25">
        <f t="shared" si="6"/>
        <v>412657.49006066943</v>
      </c>
      <c r="AD24" s="25">
        <f t="shared" si="6"/>
        <v>416753.11564952153</v>
      </c>
      <c r="AE24" s="25">
        <f t="shared" si="6"/>
        <v>420889.39032234304</v>
      </c>
      <c r="AF24" s="25">
        <f t="shared" si="6"/>
        <v>425066.71752129233</v>
      </c>
      <c r="AG24" s="25">
        <f t="shared" si="6"/>
        <v>429285.50469269103</v>
      </c>
      <c r="AH24" s="25">
        <f t="shared" si="6"/>
        <v>433546.16332676582</v>
      </c>
      <c r="AI24" s="25">
        <f t="shared" si="6"/>
        <v>437849.10899778403</v>
      </c>
      <c r="AJ24" s="25">
        <f t="shared" si="6"/>
        <v>442194.76140458684</v>
      </c>
      <c r="AK24" s="25">
        <f t="shared" si="6"/>
        <v>446583.5444115274</v>
      </c>
      <c r="AL24" s="25">
        <f t="shared" si="6"/>
        <v>451015.88608981174</v>
      </c>
      <c r="AM24" s="25">
        <f t="shared" si="6"/>
        <v>455492.21875925316</v>
      </c>
      <c r="AN24" s="25">
        <f t="shared" si="6"/>
        <v>460012.97903043864</v>
      </c>
      <c r="AO24" s="25">
        <f t="shared" si="6"/>
        <v>464578.60784731567</v>
      </c>
      <c r="AP24" s="25">
        <f t="shared" si="6"/>
        <v>469189.5505302003</v>
      </c>
    </row>
    <row r="25" spans="1:42" x14ac:dyDescent="0.2">
      <c r="A25" s="40" t="s">
        <v>105</v>
      </c>
      <c r="B25" s="21" t="s">
        <v>94</v>
      </c>
      <c r="C25" s="27">
        <f>C71</f>
        <v>4636072</v>
      </c>
      <c r="D25" s="21" t="s">
        <v>115</v>
      </c>
      <c r="F25" s="18" t="s">
        <v>200</v>
      </c>
      <c r="G25" s="64"/>
      <c r="H25" s="18"/>
      <c r="I25" s="18"/>
      <c r="K25" s="24" t="s">
        <v>91</v>
      </c>
      <c r="L25" s="24"/>
      <c r="M25" s="25">
        <f t="shared" ref="M25:AP25" si="7">IF($C31="No", 0, ($C6*$C28*$C32*12)*(1+$C34)^(L7))</f>
        <v>0</v>
      </c>
      <c r="N25" s="25">
        <f t="shared" si="7"/>
        <v>0</v>
      </c>
      <c r="O25" s="25">
        <f t="shared" si="7"/>
        <v>0</v>
      </c>
      <c r="P25" s="25">
        <f t="shared" si="7"/>
        <v>0</v>
      </c>
      <c r="Q25" s="25">
        <f t="shared" si="7"/>
        <v>0</v>
      </c>
      <c r="R25" s="25">
        <f t="shared" si="7"/>
        <v>0</v>
      </c>
      <c r="S25" s="25">
        <f t="shared" si="7"/>
        <v>0</v>
      </c>
      <c r="T25" s="25">
        <f t="shared" si="7"/>
        <v>0</v>
      </c>
      <c r="U25" s="25">
        <f t="shared" si="7"/>
        <v>0</v>
      </c>
      <c r="V25" s="25">
        <f t="shared" si="7"/>
        <v>0</v>
      </c>
      <c r="W25" s="25">
        <f t="shared" si="7"/>
        <v>0</v>
      </c>
      <c r="X25" s="25">
        <f t="shared" si="7"/>
        <v>0</v>
      </c>
      <c r="Y25" s="25">
        <f t="shared" si="7"/>
        <v>0</v>
      </c>
      <c r="Z25" s="25">
        <f t="shared" si="7"/>
        <v>0</v>
      </c>
      <c r="AA25" s="25">
        <f t="shared" si="7"/>
        <v>0</v>
      </c>
      <c r="AB25" s="25">
        <f t="shared" si="7"/>
        <v>0</v>
      </c>
      <c r="AC25" s="25">
        <f t="shared" si="7"/>
        <v>0</v>
      </c>
      <c r="AD25" s="25">
        <f t="shared" si="7"/>
        <v>0</v>
      </c>
      <c r="AE25" s="25">
        <f t="shared" si="7"/>
        <v>0</v>
      </c>
      <c r="AF25" s="25">
        <f t="shared" si="7"/>
        <v>0</v>
      </c>
      <c r="AG25" s="25">
        <f t="shared" si="7"/>
        <v>0</v>
      </c>
      <c r="AH25" s="25">
        <f t="shared" si="7"/>
        <v>0</v>
      </c>
      <c r="AI25" s="25">
        <f t="shared" si="7"/>
        <v>0</v>
      </c>
      <c r="AJ25" s="25">
        <f t="shared" si="7"/>
        <v>0</v>
      </c>
      <c r="AK25" s="25">
        <f t="shared" si="7"/>
        <v>0</v>
      </c>
      <c r="AL25" s="25">
        <f t="shared" si="7"/>
        <v>0</v>
      </c>
      <c r="AM25" s="25">
        <f t="shared" si="7"/>
        <v>0</v>
      </c>
      <c r="AN25" s="25">
        <f t="shared" si="7"/>
        <v>0</v>
      </c>
      <c r="AO25" s="25">
        <f t="shared" si="7"/>
        <v>0</v>
      </c>
      <c r="AP25" s="25">
        <f t="shared" si="7"/>
        <v>0</v>
      </c>
    </row>
    <row r="26" spans="1:42" x14ac:dyDescent="0.2">
      <c r="A26" s="40"/>
      <c r="B26" s="21" t="s">
        <v>95</v>
      </c>
      <c r="C26" s="33">
        <v>5.0000000000000001E-3</v>
      </c>
      <c r="D26" s="21" t="s">
        <v>6</v>
      </c>
      <c r="F26" s="74" t="s">
        <v>194</v>
      </c>
      <c r="G26" s="59"/>
      <c r="H26" s="59"/>
      <c r="I26" s="106"/>
      <c r="K26" s="24" t="s">
        <v>72</v>
      </c>
      <c r="L26" s="24"/>
      <c r="M26" s="25">
        <f t="shared" ref="M26:AP26" si="8">$C37*$C38*$C39*365</f>
        <v>0</v>
      </c>
      <c r="N26" s="25">
        <f t="shared" si="8"/>
        <v>0</v>
      </c>
      <c r="O26" s="25">
        <f t="shared" si="8"/>
        <v>0</v>
      </c>
      <c r="P26" s="25">
        <f t="shared" si="8"/>
        <v>0</v>
      </c>
      <c r="Q26" s="25">
        <f t="shared" si="8"/>
        <v>0</v>
      </c>
      <c r="R26" s="25">
        <f t="shared" si="8"/>
        <v>0</v>
      </c>
      <c r="S26" s="25">
        <f t="shared" si="8"/>
        <v>0</v>
      </c>
      <c r="T26" s="25">
        <f t="shared" si="8"/>
        <v>0</v>
      </c>
      <c r="U26" s="25">
        <f t="shared" si="8"/>
        <v>0</v>
      </c>
      <c r="V26" s="25">
        <f t="shared" si="8"/>
        <v>0</v>
      </c>
      <c r="W26" s="25">
        <f t="shared" si="8"/>
        <v>0</v>
      </c>
      <c r="X26" s="25">
        <f t="shared" si="8"/>
        <v>0</v>
      </c>
      <c r="Y26" s="25">
        <f t="shared" si="8"/>
        <v>0</v>
      </c>
      <c r="Z26" s="25">
        <f t="shared" si="8"/>
        <v>0</v>
      </c>
      <c r="AA26" s="25">
        <f t="shared" si="8"/>
        <v>0</v>
      </c>
      <c r="AB26" s="25">
        <f t="shared" si="8"/>
        <v>0</v>
      </c>
      <c r="AC26" s="25">
        <f t="shared" si="8"/>
        <v>0</v>
      </c>
      <c r="AD26" s="25">
        <f t="shared" si="8"/>
        <v>0</v>
      </c>
      <c r="AE26" s="25">
        <f t="shared" si="8"/>
        <v>0</v>
      </c>
      <c r="AF26" s="25">
        <f t="shared" si="8"/>
        <v>0</v>
      </c>
      <c r="AG26" s="25">
        <f t="shared" si="8"/>
        <v>0</v>
      </c>
      <c r="AH26" s="25">
        <f t="shared" si="8"/>
        <v>0</v>
      </c>
      <c r="AI26" s="25">
        <f t="shared" si="8"/>
        <v>0</v>
      </c>
      <c r="AJ26" s="25">
        <f t="shared" si="8"/>
        <v>0</v>
      </c>
      <c r="AK26" s="25">
        <f t="shared" si="8"/>
        <v>0</v>
      </c>
      <c r="AL26" s="25">
        <f t="shared" si="8"/>
        <v>0</v>
      </c>
      <c r="AM26" s="25">
        <f t="shared" si="8"/>
        <v>0</v>
      </c>
      <c r="AN26" s="25">
        <f t="shared" si="8"/>
        <v>0</v>
      </c>
      <c r="AO26" s="25">
        <f t="shared" si="8"/>
        <v>0</v>
      </c>
      <c r="AP26" s="25">
        <f t="shared" si="8"/>
        <v>0</v>
      </c>
    </row>
    <row r="27" spans="1:42" x14ac:dyDescent="0.2">
      <c r="A27" s="40"/>
      <c r="B27" s="21" t="s">
        <v>96</v>
      </c>
      <c r="C27" s="32">
        <v>0.1</v>
      </c>
      <c r="D27" s="21" t="s">
        <v>6</v>
      </c>
      <c r="F27" s="61" t="s">
        <v>171</v>
      </c>
      <c r="G27" s="65" t="s">
        <v>123</v>
      </c>
      <c r="H27" s="69">
        <v>42.406206588876884</v>
      </c>
      <c r="I27" s="18"/>
      <c r="K27" s="24" t="s">
        <v>89</v>
      </c>
      <c r="L27" s="24"/>
      <c r="M27" s="25">
        <f>$C40</f>
        <v>0</v>
      </c>
      <c r="N27" s="25">
        <f>$C40</f>
        <v>0</v>
      </c>
      <c r="O27" s="25">
        <f>$C40</f>
        <v>0</v>
      </c>
      <c r="P27" s="25">
        <f>$C40</f>
        <v>0</v>
      </c>
      <c r="Q27" s="25">
        <f>$C40</f>
        <v>0</v>
      </c>
      <c r="R27" s="25">
        <f>$C41</f>
        <v>0</v>
      </c>
      <c r="S27" s="25">
        <f>$C41</f>
        <v>0</v>
      </c>
      <c r="T27" s="25">
        <f>$C41</f>
        <v>0</v>
      </c>
      <c r="U27" s="25">
        <f>$C41</f>
        <v>0</v>
      </c>
      <c r="V27" s="25">
        <f>$C41</f>
        <v>0</v>
      </c>
      <c r="W27" s="25">
        <f t="shared" ref="W27:AP27" si="9">$C42</f>
        <v>0</v>
      </c>
      <c r="X27" s="25">
        <f t="shared" si="9"/>
        <v>0</v>
      </c>
      <c r="Y27" s="25">
        <f t="shared" si="9"/>
        <v>0</v>
      </c>
      <c r="Z27" s="25">
        <f t="shared" si="9"/>
        <v>0</v>
      </c>
      <c r="AA27" s="25">
        <f t="shared" si="9"/>
        <v>0</v>
      </c>
      <c r="AB27" s="25">
        <f t="shared" si="9"/>
        <v>0</v>
      </c>
      <c r="AC27" s="25">
        <f t="shared" si="9"/>
        <v>0</v>
      </c>
      <c r="AD27" s="25">
        <f t="shared" si="9"/>
        <v>0</v>
      </c>
      <c r="AE27" s="25">
        <f t="shared" si="9"/>
        <v>0</v>
      </c>
      <c r="AF27" s="25">
        <f t="shared" si="9"/>
        <v>0</v>
      </c>
      <c r="AG27" s="25">
        <f t="shared" si="9"/>
        <v>0</v>
      </c>
      <c r="AH27" s="25">
        <f t="shared" si="9"/>
        <v>0</v>
      </c>
      <c r="AI27" s="25">
        <f t="shared" si="9"/>
        <v>0</v>
      </c>
      <c r="AJ27" s="25">
        <f t="shared" si="9"/>
        <v>0</v>
      </c>
      <c r="AK27" s="25">
        <f t="shared" si="9"/>
        <v>0</v>
      </c>
      <c r="AL27" s="25">
        <f t="shared" si="9"/>
        <v>0</v>
      </c>
      <c r="AM27" s="25">
        <f t="shared" si="9"/>
        <v>0</v>
      </c>
      <c r="AN27" s="25">
        <f t="shared" si="9"/>
        <v>0</v>
      </c>
      <c r="AO27" s="25">
        <f t="shared" si="9"/>
        <v>0</v>
      </c>
      <c r="AP27" s="25">
        <f t="shared" si="9"/>
        <v>0</v>
      </c>
    </row>
    <row r="28" spans="1:42" x14ac:dyDescent="0.2">
      <c r="A28" s="41"/>
      <c r="B28" s="42" t="s">
        <v>106</v>
      </c>
      <c r="C28" s="52">
        <v>0</v>
      </c>
      <c r="D28" s="42" t="s">
        <v>6</v>
      </c>
      <c r="F28" s="61" t="s">
        <v>174</v>
      </c>
      <c r="G28" s="65" t="s">
        <v>124</v>
      </c>
      <c r="H28" s="70">
        <v>2833.5941088737013</v>
      </c>
      <c r="I28" s="18" t="s">
        <v>126</v>
      </c>
      <c r="K28" s="24" t="s">
        <v>73</v>
      </c>
      <c r="L28" s="24"/>
      <c r="M28" s="25">
        <f t="shared" ref="M28:AP28" si="10">IF(L7&lt;$C36, ($C8*365*$C33*$C35)*(1+$C34)^L7+IF($C31="No", 0, ($C7*12*$C32*$C35)*(1+$C34)^L7), 0)</f>
        <v>0</v>
      </c>
      <c r="N28" s="25">
        <f t="shared" si="10"/>
        <v>0</v>
      </c>
      <c r="O28" s="25">
        <f t="shared" si="10"/>
        <v>0</v>
      </c>
      <c r="P28" s="25">
        <f t="shared" si="10"/>
        <v>0</v>
      </c>
      <c r="Q28" s="25">
        <f t="shared" si="10"/>
        <v>0</v>
      </c>
      <c r="R28" s="25">
        <f t="shared" si="10"/>
        <v>0</v>
      </c>
      <c r="S28" s="25">
        <f t="shared" si="10"/>
        <v>0</v>
      </c>
      <c r="T28" s="25">
        <f t="shared" si="10"/>
        <v>0</v>
      </c>
      <c r="U28" s="25">
        <f t="shared" si="10"/>
        <v>0</v>
      </c>
      <c r="V28" s="25">
        <f t="shared" si="10"/>
        <v>0</v>
      </c>
      <c r="W28" s="25">
        <f t="shared" si="10"/>
        <v>0</v>
      </c>
      <c r="X28" s="25">
        <f t="shared" si="10"/>
        <v>0</v>
      </c>
      <c r="Y28" s="25">
        <f t="shared" si="10"/>
        <v>0</v>
      </c>
      <c r="Z28" s="25">
        <f t="shared" si="10"/>
        <v>0</v>
      </c>
      <c r="AA28" s="25">
        <f t="shared" si="10"/>
        <v>0</v>
      </c>
      <c r="AB28" s="25">
        <f t="shared" si="10"/>
        <v>0</v>
      </c>
      <c r="AC28" s="25">
        <f t="shared" si="10"/>
        <v>0</v>
      </c>
      <c r="AD28" s="25">
        <f t="shared" si="10"/>
        <v>0</v>
      </c>
      <c r="AE28" s="25">
        <f t="shared" si="10"/>
        <v>0</v>
      </c>
      <c r="AF28" s="25">
        <f t="shared" si="10"/>
        <v>0</v>
      </c>
      <c r="AG28" s="25">
        <f t="shared" si="10"/>
        <v>0</v>
      </c>
      <c r="AH28" s="25">
        <f t="shared" si="10"/>
        <v>0</v>
      </c>
      <c r="AI28" s="25">
        <f t="shared" si="10"/>
        <v>0</v>
      </c>
      <c r="AJ28" s="25">
        <f t="shared" si="10"/>
        <v>0</v>
      </c>
      <c r="AK28" s="25">
        <f t="shared" si="10"/>
        <v>0</v>
      </c>
      <c r="AL28" s="25">
        <f t="shared" si="10"/>
        <v>0</v>
      </c>
      <c r="AM28" s="25">
        <f t="shared" si="10"/>
        <v>0</v>
      </c>
      <c r="AN28" s="25">
        <f t="shared" si="10"/>
        <v>0</v>
      </c>
      <c r="AO28" s="25">
        <f t="shared" si="10"/>
        <v>0</v>
      </c>
      <c r="AP28" s="25">
        <f t="shared" si="10"/>
        <v>0</v>
      </c>
    </row>
    <row r="29" spans="1:42" x14ac:dyDescent="0.2">
      <c r="A29" s="40" t="s">
        <v>165</v>
      </c>
      <c r="B29" s="21" t="s">
        <v>27</v>
      </c>
      <c r="C29" s="34">
        <v>0.08</v>
      </c>
      <c r="D29" s="21" t="s">
        <v>8</v>
      </c>
      <c r="F29" s="66" t="s">
        <v>175</v>
      </c>
      <c r="G29" s="67" t="s">
        <v>125</v>
      </c>
      <c r="H29" s="71">
        <v>6033.6303751218848</v>
      </c>
      <c r="I29" s="106" t="s">
        <v>126</v>
      </c>
      <c r="K29" s="24" t="s">
        <v>74</v>
      </c>
      <c r="L29" s="24"/>
      <c r="M29" s="90">
        <f t="shared" ref="M29:AP29" si="11">$C43</f>
        <v>0</v>
      </c>
      <c r="N29" s="90">
        <f t="shared" si="11"/>
        <v>0</v>
      </c>
      <c r="O29" s="90">
        <f t="shared" si="11"/>
        <v>0</v>
      </c>
      <c r="P29" s="90">
        <f t="shared" si="11"/>
        <v>0</v>
      </c>
      <c r="Q29" s="90">
        <f t="shared" si="11"/>
        <v>0</v>
      </c>
      <c r="R29" s="90">
        <f t="shared" si="11"/>
        <v>0</v>
      </c>
      <c r="S29" s="90">
        <f t="shared" si="11"/>
        <v>0</v>
      </c>
      <c r="T29" s="90">
        <f t="shared" si="11"/>
        <v>0</v>
      </c>
      <c r="U29" s="90">
        <f t="shared" si="11"/>
        <v>0</v>
      </c>
      <c r="V29" s="90">
        <f t="shared" si="11"/>
        <v>0</v>
      </c>
      <c r="W29" s="90">
        <f t="shared" si="11"/>
        <v>0</v>
      </c>
      <c r="X29" s="90">
        <f t="shared" si="11"/>
        <v>0</v>
      </c>
      <c r="Y29" s="90">
        <f t="shared" si="11"/>
        <v>0</v>
      </c>
      <c r="Z29" s="90">
        <f t="shared" si="11"/>
        <v>0</v>
      </c>
      <c r="AA29" s="90">
        <f t="shared" si="11"/>
        <v>0</v>
      </c>
      <c r="AB29" s="90">
        <f t="shared" si="11"/>
        <v>0</v>
      </c>
      <c r="AC29" s="90">
        <f t="shared" si="11"/>
        <v>0</v>
      </c>
      <c r="AD29" s="90">
        <f t="shared" si="11"/>
        <v>0</v>
      </c>
      <c r="AE29" s="90">
        <f t="shared" si="11"/>
        <v>0</v>
      </c>
      <c r="AF29" s="90">
        <f t="shared" si="11"/>
        <v>0</v>
      </c>
      <c r="AG29" s="90">
        <f t="shared" si="11"/>
        <v>0</v>
      </c>
      <c r="AH29" s="90">
        <f t="shared" si="11"/>
        <v>0</v>
      </c>
      <c r="AI29" s="90">
        <f t="shared" si="11"/>
        <v>0</v>
      </c>
      <c r="AJ29" s="90">
        <f t="shared" si="11"/>
        <v>0</v>
      </c>
      <c r="AK29" s="90">
        <f t="shared" si="11"/>
        <v>0</v>
      </c>
      <c r="AL29" s="90">
        <f t="shared" si="11"/>
        <v>0</v>
      </c>
      <c r="AM29" s="90">
        <f t="shared" si="11"/>
        <v>0</v>
      </c>
      <c r="AN29" s="90">
        <f t="shared" si="11"/>
        <v>0</v>
      </c>
      <c r="AO29" s="90">
        <f t="shared" si="11"/>
        <v>0</v>
      </c>
      <c r="AP29" s="90">
        <f t="shared" si="11"/>
        <v>0</v>
      </c>
    </row>
    <row r="30" spans="1:42" ht="12.75" customHeight="1" x14ac:dyDescent="0.2">
      <c r="A30" s="40" t="s">
        <v>166</v>
      </c>
      <c r="B30" s="21" t="s">
        <v>7</v>
      </c>
      <c r="C30" s="34">
        <v>0.04</v>
      </c>
      <c r="D30" s="21" t="s">
        <v>8</v>
      </c>
      <c r="F30" s="61" t="s">
        <v>171</v>
      </c>
      <c r="G30" s="65" t="s">
        <v>123</v>
      </c>
      <c r="H30" s="69">
        <v>0.69570269997121725</v>
      </c>
      <c r="I30" s="18"/>
      <c r="K30" s="24" t="s">
        <v>36</v>
      </c>
      <c r="L30" s="24"/>
      <c r="M30" s="47">
        <f>M8/1000*$C44</f>
        <v>0</v>
      </c>
      <c r="N30" s="47">
        <f>N8/1000*$C44</f>
        <v>0</v>
      </c>
      <c r="O30" s="47">
        <f>O8/1000*$C44</f>
        <v>0</v>
      </c>
      <c r="P30" s="47">
        <f>P8/1000*$C44</f>
        <v>0</v>
      </c>
      <c r="Q30" s="47">
        <f>Q8/1000*$C44</f>
        <v>0</v>
      </c>
      <c r="R30" s="47">
        <f>R8/1000*$C45</f>
        <v>0</v>
      </c>
      <c r="S30" s="47">
        <f>S8/1000*$C45</f>
        <v>0</v>
      </c>
      <c r="T30" s="47">
        <f>T8/1000*$C45</f>
        <v>0</v>
      </c>
      <c r="U30" s="47">
        <f>U8/1000*$C45</f>
        <v>0</v>
      </c>
      <c r="V30" s="47">
        <f>V8/1000*$C45</f>
        <v>0</v>
      </c>
      <c r="W30" s="47">
        <f t="shared" ref="W30:AP30" si="12">W8/1000*$C46</f>
        <v>0</v>
      </c>
      <c r="X30" s="47">
        <f t="shared" si="12"/>
        <v>0</v>
      </c>
      <c r="Y30" s="47">
        <f t="shared" si="12"/>
        <v>0</v>
      </c>
      <c r="Z30" s="47">
        <f t="shared" si="12"/>
        <v>0</v>
      </c>
      <c r="AA30" s="47">
        <f t="shared" si="12"/>
        <v>0</v>
      </c>
      <c r="AB30" s="47">
        <f t="shared" si="12"/>
        <v>0</v>
      </c>
      <c r="AC30" s="47">
        <f t="shared" si="12"/>
        <v>0</v>
      </c>
      <c r="AD30" s="47">
        <f t="shared" si="12"/>
        <v>0</v>
      </c>
      <c r="AE30" s="47">
        <f t="shared" si="12"/>
        <v>0</v>
      </c>
      <c r="AF30" s="47">
        <f t="shared" si="12"/>
        <v>0</v>
      </c>
      <c r="AG30" s="47">
        <f t="shared" si="12"/>
        <v>0</v>
      </c>
      <c r="AH30" s="47">
        <f t="shared" si="12"/>
        <v>0</v>
      </c>
      <c r="AI30" s="47">
        <f t="shared" si="12"/>
        <v>0</v>
      </c>
      <c r="AJ30" s="47">
        <f t="shared" si="12"/>
        <v>0</v>
      </c>
      <c r="AK30" s="47">
        <f t="shared" si="12"/>
        <v>0</v>
      </c>
      <c r="AL30" s="47">
        <f t="shared" si="12"/>
        <v>0</v>
      </c>
      <c r="AM30" s="47">
        <f t="shared" si="12"/>
        <v>0</v>
      </c>
      <c r="AN30" s="47">
        <f t="shared" si="12"/>
        <v>0</v>
      </c>
      <c r="AO30" s="47">
        <f t="shared" si="12"/>
        <v>0</v>
      </c>
      <c r="AP30" s="47">
        <f t="shared" si="12"/>
        <v>0</v>
      </c>
    </row>
    <row r="31" spans="1:42" x14ac:dyDescent="0.2">
      <c r="A31" s="40"/>
      <c r="B31" s="21" t="s">
        <v>87</v>
      </c>
      <c r="C31" s="31" t="s">
        <v>64</v>
      </c>
      <c r="D31" s="21" t="s">
        <v>47</v>
      </c>
      <c r="F31" s="61" t="s">
        <v>172</v>
      </c>
      <c r="G31" s="65" t="s">
        <v>124</v>
      </c>
      <c r="H31" s="70">
        <v>43.47037308100515</v>
      </c>
      <c r="I31" s="18" t="s">
        <v>126</v>
      </c>
      <c r="K31" s="26" t="s">
        <v>69</v>
      </c>
      <c r="L31" s="24"/>
      <c r="M31" s="25">
        <f>SUM(M24:M30)</f>
        <v>352341.47200000001</v>
      </c>
      <c r="N31" s="25">
        <f t="shared" ref="N31:AP31" si="13">SUM(N24:N30)</f>
        <v>355838.46110959997</v>
      </c>
      <c r="O31" s="25">
        <f t="shared" si="13"/>
        <v>359370.15783611278</v>
      </c>
      <c r="P31" s="25">
        <f t="shared" si="13"/>
        <v>362936.90665263607</v>
      </c>
      <c r="Q31" s="25">
        <f t="shared" si="13"/>
        <v>366539.0554511635</v>
      </c>
      <c r="R31" s="25">
        <f t="shared" si="13"/>
        <v>370176.95557651616</v>
      </c>
      <c r="S31" s="25">
        <f t="shared" si="13"/>
        <v>373850.96186061302</v>
      </c>
      <c r="T31" s="25">
        <f t="shared" si="13"/>
        <v>377561.43265707965</v>
      </c>
      <c r="U31" s="25">
        <f t="shared" si="13"/>
        <v>381308.72987620108</v>
      </c>
      <c r="V31" s="25">
        <f t="shared" si="13"/>
        <v>385093.21902022231</v>
      </c>
      <c r="W31" s="25">
        <f t="shared" si="13"/>
        <v>388915.26921899797</v>
      </c>
      <c r="X31" s="25">
        <f t="shared" si="13"/>
        <v>392775.25326599646</v>
      </c>
      <c r="Y31" s="25">
        <f t="shared" si="13"/>
        <v>396673.54765466147</v>
      </c>
      <c r="Z31" s="25">
        <f t="shared" si="13"/>
        <v>400610.53261513397</v>
      </c>
      <c r="AA31" s="25">
        <f t="shared" si="13"/>
        <v>404586.59215133905</v>
      </c>
      <c r="AB31" s="25">
        <f t="shared" si="13"/>
        <v>408602.11407844105</v>
      </c>
      <c r="AC31" s="25">
        <f t="shared" si="13"/>
        <v>412657.49006066943</v>
      </c>
      <c r="AD31" s="25">
        <f t="shared" si="13"/>
        <v>416753.11564952153</v>
      </c>
      <c r="AE31" s="25">
        <f t="shared" si="13"/>
        <v>420889.39032234304</v>
      </c>
      <c r="AF31" s="25">
        <f t="shared" si="13"/>
        <v>425066.71752129233</v>
      </c>
      <c r="AG31" s="25">
        <f t="shared" si="13"/>
        <v>429285.50469269103</v>
      </c>
      <c r="AH31" s="25">
        <f t="shared" si="13"/>
        <v>433546.16332676582</v>
      </c>
      <c r="AI31" s="25">
        <f t="shared" si="13"/>
        <v>437849.10899778403</v>
      </c>
      <c r="AJ31" s="25">
        <f t="shared" si="13"/>
        <v>442194.76140458684</v>
      </c>
      <c r="AK31" s="25">
        <f t="shared" si="13"/>
        <v>446583.5444115274</v>
      </c>
      <c r="AL31" s="25">
        <f t="shared" si="13"/>
        <v>451015.88608981174</v>
      </c>
      <c r="AM31" s="25">
        <f t="shared" si="13"/>
        <v>455492.21875925316</v>
      </c>
      <c r="AN31" s="25">
        <f t="shared" si="13"/>
        <v>460012.97903043864</v>
      </c>
      <c r="AO31" s="25">
        <f t="shared" si="13"/>
        <v>464578.60784731567</v>
      </c>
      <c r="AP31" s="25">
        <f t="shared" si="13"/>
        <v>469189.5505302003</v>
      </c>
    </row>
    <row r="32" spans="1:42" x14ac:dyDescent="0.2">
      <c r="A32" s="40"/>
      <c r="B32" s="21" t="s">
        <v>116</v>
      </c>
      <c r="C32" s="35">
        <v>0</v>
      </c>
      <c r="D32" s="21" t="s">
        <v>68</v>
      </c>
      <c r="F32" s="66" t="s">
        <v>173</v>
      </c>
      <c r="G32" s="67" t="s">
        <v>125</v>
      </c>
      <c r="H32" s="71">
        <v>72.16676359980984</v>
      </c>
      <c r="I32" s="59" t="s">
        <v>126</v>
      </c>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x14ac:dyDescent="0.2">
      <c r="A33" s="40"/>
      <c r="B33" s="21" t="s">
        <v>79</v>
      </c>
      <c r="C33" s="34">
        <v>0</v>
      </c>
      <c r="D33" s="21" t="s">
        <v>8</v>
      </c>
      <c r="F33" s="18" t="s">
        <v>201</v>
      </c>
      <c r="G33" s="18"/>
      <c r="H33" s="18"/>
      <c r="I33" s="18"/>
      <c r="K33" s="24" t="s">
        <v>12</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row>
    <row r="34" spans="1:42" x14ac:dyDescent="0.2">
      <c r="A34" s="41"/>
      <c r="B34" s="42" t="s">
        <v>90</v>
      </c>
      <c r="C34" s="53">
        <v>1.4999999999999999E-2</v>
      </c>
      <c r="D34" s="42" t="s">
        <v>6</v>
      </c>
      <c r="F34" s="74" t="s">
        <v>183</v>
      </c>
      <c r="G34" s="73"/>
      <c r="H34" s="59"/>
      <c r="I34" s="106"/>
      <c r="K34" s="24" t="s">
        <v>14</v>
      </c>
      <c r="L34" s="24"/>
      <c r="M34" s="25">
        <f>IF($C21="Yes", IF(L7&lt;10,0,$C47*$C6*(1+$C$49)^L$7))</f>
        <v>0</v>
      </c>
      <c r="N34" s="25">
        <f t="shared" ref="N34:AP34" si="14">IF($C21="Yes", IF(M7&lt;10,0,$C47*$C6*(1+$C$49)^M$7))</f>
        <v>0</v>
      </c>
      <c r="O34" s="25">
        <f t="shared" si="14"/>
        <v>0</v>
      </c>
      <c r="P34" s="25">
        <f t="shared" si="14"/>
        <v>0</v>
      </c>
      <c r="Q34" s="25">
        <f t="shared" si="14"/>
        <v>0</v>
      </c>
      <c r="R34" s="25">
        <f t="shared" si="14"/>
        <v>0</v>
      </c>
      <c r="S34" s="25">
        <f t="shared" si="14"/>
        <v>0</v>
      </c>
      <c r="T34" s="25">
        <f t="shared" si="14"/>
        <v>0</v>
      </c>
      <c r="U34" s="25">
        <f t="shared" si="14"/>
        <v>0</v>
      </c>
      <c r="V34" s="25">
        <f t="shared" si="14"/>
        <v>0</v>
      </c>
      <c r="W34" s="25">
        <f t="shared" si="14"/>
        <v>66960.633600820875</v>
      </c>
      <c r="X34" s="25">
        <f t="shared" si="14"/>
        <v>68969.452608845502</v>
      </c>
      <c r="Y34" s="25">
        <f t="shared" si="14"/>
        <v>71038.536187110847</v>
      </c>
      <c r="Z34" s="25">
        <f t="shared" si="14"/>
        <v>73169.692272724176</v>
      </c>
      <c r="AA34" s="25">
        <f t="shared" si="14"/>
        <v>75364.78304090591</v>
      </c>
      <c r="AB34" s="25">
        <f t="shared" si="14"/>
        <v>77625.726532133092</v>
      </c>
      <c r="AC34" s="25">
        <f t="shared" si="14"/>
        <v>79954.498328097063</v>
      </c>
      <c r="AD34" s="25">
        <f t="shared" si="14"/>
        <v>82353.133277939982</v>
      </c>
      <c r="AE34" s="25">
        <f t="shared" si="14"/>
        <v>84823.727276278179</v>
      </c>
      <c r="AF34" s="25">
        <f t="shared" si="14"/>
        <v>87368.439094566522</v>
      </c>
      <c r="AG34" s="25">
        <f t="shared" si="14"/>
        <v>89989.492267403519</v>
      </c>
      <c r="AH34" s="25">
        <f t="shared" si="14"/>
        <v>92689.177035425615</v>
      </c>
      <c r="AI34" s="25">
        <f t="shared" si="14"/>
        <v>95469.852346488391</v>
      </c>
      <c r="AJ34" s="25">
        <f t="shared" si="14"/>
        <v>98333.947916883044</v>
      </c>
      <c r="AK34" s="25">
        <f t="shared" si="14"/>
        <v>101283.96635438951</v>
      </c>
      <c r="AL34" s="25">
        <f t="shared" si="14"/>
        <v>104322.48534502121</v>
      </c>
      <c r="AM34" s="25">
        <f t="shared" si="14"/>
        <v>107452.15990537185</v>
      </c>
      <c r="AN34" s="25">
        <f t="shared" si="14"/>
        <v>110675.724702533</v>
      </c>
      <c r="AO34" s="25">
        <f t="shared" si="14"/>
        <v>113995.99644360899</v>
      </c>
      <c r="AP34" s="25">
        <f t="shared" si="14"/>
        <v>117415.87633691725</v>
      </c>
    </row>
    <row r="35" spans="1:42" x14ac:dyDescent="0.2">
      <c r="A35" s="40" t="s">
        <v>161</v>
      </c>
      <c r="B35" s="21" t="s">
        <v>93</v>
      </c>
      <c r="C35" s="32">
        <v>0.9</v>
      </c>
      <c r="D35" s="21" t="s">
        <v>6</v>
      </c>
      <c r="F35" s="61" t="s">
        <v>178</v>
      </c>
      <c r="G35" s="18"/>
      <c r="H35" s="92">
        <f>IF(C8&gt;0,(C25-(C8*365*(1-C35)))/12, C25/12)</f>
        <v>386339.33333333331</v>
      </c>
      <c r="I35" s="18" t="s">
        <v>156</v>
      </c>
      <c r="K35" s="24" t="s">
        <v>46</v>
      </c>
      <c r="L35" s="24"/>
      <c r="M35" s="25">
        <f t="shared" ref="M35:AP35" si="15">IF(M7&gt;$C17, 0, IF($C15="Yes", -IPMT($C18, M7, $C17, -$L20), 0))</f>
        <v>0</v>
      </c>
      <c r="N35" s="25">
        <f t="shared" si="15"/>
        <v>0</v>
      </c>
      <c r="O35" s="25">
        <f t="shared" si="15"/>
        <v>0</v>
      </c>
      <c r="P35" s="25">
        <f t="shared" si="15"/>
        <v>0</v>
      </c>
      <c r="Q35" s="25">
        <f t="shared" si="15"/>
        <v>0</v>
      </c>
      <c r="R35" s="25">
        <f t="shared" si="15"/>
        <v>0</v>
      </c>
      <c r="S35" s="25">
        <f t="shared" si="15"/>
        <v>0</v>
      </c>
      <c r="T35" s="25">
        <f t="shared" si="15"/>
        <v>0</v>
      </c>
      <c r="U35" s="25">
        <f t="shared" si="15"/>
        <v>0</v>
      </c>
      <c r="V35" s="25">
        <f t="shared" si="15"/>
        <v>0</v>
      </c>
      <c r="W35" s="25">
        <f t="shared" si="15"/>
        <v>0</v>
      </c>
      <c r="X35" s="25">
        <f t="shared" si="15"/>
        <v>0</v>
      </c>
      <c r="Y35" s="25">
        <f t="shared" si="15"/>
        <v>0</v>
      </c>
      <c r="Z35" s="25">
        <f t="shared" si="15"/>
        <v>0</v>
      </c>
      <c r="AA35" s="25">
        <f t="shared" si="15"/>
        <v>0</v>
      </c>
      <c r="AB35" s="25">
        <f t="shared" si="15"/>
        <v>0</v>
      </c>
      <c r="AC35" s="25">
        <f t="shared" si="15"/>
        <v>0</v>
      </c>
      <c r="AD35" s="25">
        <f t="shared" si="15"/>
        <v>0</v>
      </c>
      <c r="AE35" s="25">
        <f t="shared" si="15"/>
        <v>0</v>
      </c>
      <c r="AF35" s="25">
        <f t="shared" si="15"/>
        <v>0</v>
      </c>
      <c r="AG35" s="25">
        <f t="shared" si="15"/>
        <v>0</v>
      </c>
      <c r="AH35" s="25">
        <f t="shared" si="15"/>
        <v>0</v>
      </c>
      <c r="AI35" s="25">
        <f t="shared" si="15"/>
        <v>0</v>
      </c>
      <c r="AJ35" s="25">
        <f t="shared" si="15"/>
        <v>0</v>
      </c>
      <c r="AK35" s="25">
        <f t="shared" si="15"/>
        <v>0</v>
      </c>
      <c r="AL35" s="25">
        <f t="shared" si="15"/>
        <v>0</v>
      </c>
      <c r="AM35" s="25">
        <f t="shared" si="15"/>
        <v>0</v>
      </c>
      <c r="AN35" s="25">
        <f t="shared" si="15"/>
        <v>0</v>
      </c>
      <c r="AO35" s="25">
        <f t="shared" si="15"/>
        <v>0</v>
      </c>
      <c r="AP35" s="25">
        <f t="shared" si="15"/>
        <v>0</v>
      </c>
    </row>
    <row r="36" spans="1:42" x14ac:dyDescent="0.2">
      <c r="A36" s="41" t="s">
        <v>162</v>
      </c>
      <c r="B36" s="42" t="s">
        <v>109</v>
      </c>
      <c r="C36" s="54">
        <v>10</v>
      </c>
      <c r="D36" s="42" t="s">
        <v>22</v>
      </c>
      <c r="F36" s="61" t="s">
        <v>141</v>
      </c>
      <c r="G36" s="65" t="s">
        <v>142</v>
      </c>
      <c r="H36" s="68">
        <v>6039</v>
      </c>
      <c r="I36" s="18" t="s">
        <v>181</v>
      </c>
      <c r="K36" s="24" t="s">
        <v>155</v>
      </c>
      <c r="L36" s="24"/>
      <c r="M36" s="25">
        <f>IF($C$21="Yes", 12*$C$22*(1+$C$23)^L7, 0)</f>
        <v>324000</v>
      </c>
      <c r="N36" s="25">
        <f t="shared" ref="N36:V36" si="16">IF($C$21="Yes", 12*$C$22*(1+$C$23)^M7, 0)</f>
        <v>328859.99999999994</v>
      </c>
      <c r="O36" s="25">
        <f t="shared" si="16"/>
        <v>333792.89999999991</v>
      </c>
      <c r="P36" s="25">
        <f t="shared" si="16"/>
        <v>338799.79349999985</v>
      </c>
      <c r="Q36" s="25">
        <f t="shared" si="16"/>
        <v>343881.79040249984</v>
      </c>
      <c r="R36" s="25">
        <f t="shared" si="16"/>
        <v>349040.01725853729</v>
      </c>
      <c r="S36" s="25">
        <f t="shared" si="16"/>
        <v>354275.61751741526</v>
      </c>
      <c r="T36" s="25">
        <f t="shared" si="16"/>
        <v>359589.75178017642</v>
      </c>
      <c r="U36" s="25">
        <f t="shared" si="16"/>
        <v>364983.59805687907</v>
      </c>
      <c r="V36" s="25">
        <f t="shared" si="16"/>
        <v>370458.35202773218</v>
      </c>
      <c r="W36" s="25">
        <f>C24</f>
        <v>2000000</v>
      </c>
      <c r="X36" s="25"/>
      <c r="Y36" s="25"/>
      <c r="Z36" s="25"/>
      <c r="AA36" s="25"/>
      <c r="AB36" s="25"/>
      <c r="AC36" s="25"/>
      <c r="AD36" s="25"/>
      <c r="AE36" s="25"/>
      <c r="AF36" s="25"/>
      <c r="AG36" s="25"/>
      <c r="AH36" s="25"/>
      <c r="AI36" s="25"/>
      <c r="AJ36" s="25"/>
      <c r="AK36" s="25"/>
      <c r="AL36" s="25"/>
      <c r="AM36" s="25"/>
      <c r="AN36" s="25"/>
      <c r="AO36" s="25"/>
      <c r="AP36" s="25"/>
    </row>
    <row r="37" spans="1:42" ht="12.75" customHeight="1" x14ac:dyDescent="0.2">
      <c r="A37" s="40" t="s">
        <v>107</v>
      </c>
      <c r="B37" s="21" t="s">
        <v>83</v>
      </c>
      <c r="C37" s="37">
        <v>0</v>
      </c>
      <c r="D37" s="21" t="s">
        <v>85</v>
      </c>
      <c r="F37" s="61" t="s">
        <v>179</v>
      </c>
      <c r="G37" s="65" t="s">
        <v>144</v>
      </c>
      <c r="H37" s="68">
        <v>19086</v>
      </c>
      <c r="I37" s="18" t="s">
        <v>181</v>
      </c>
      <c r="K37" s="24" t="s">
        <v>16</v>
      </c>
      <c r="L37" s="24"/>
      <c r="M37" s="25">
        <f t="shared" ref="M37:AP37" si="17">-$C48*(1+$C$49)^L$7</f>
        <v>0</v>
      </c>
      <c r="N37" s="25">
        <f t="shared" si="17"/>
        <v>0</v>
      </c>
      <c r="O37" s="25">
        <f t="shared" si="17"/>
        <v>0</v>
      </c>
      <c r="P37" s="25">
        <f t="shared" si="17"/>
        <v>0</v>
      </c>
      <c r="Q37" s="25">
        <f t="shared" si="17"/>
        <v>0</v>
      </c>
      <c r="R37" s="25">
        <f t="shared" si="17"/>
        <v>0</v>
      </c>
      <c r="S37" s="25">
        <f t="shared" si="17"/>
        <v>0</v>
      </c>
      <c r="T37" s="25">
        <f t="shared" si="17"/>
        <v>0</v>
      </c>
      <c r="U37" s="25">
        <f t="shared" si="17"/>
        <v>0</v>
      </c>
      <c r="V37" s="25">
        <f t="shared" si="17"/>
        <v>0</v>
      </c>
      <c r="W37" s="25">
        <f t="shared" si="17"/>
        <v>0</v>
      </c>
      <c r="X37" s="25">
        <f t="shared" si="17"/>
        <v>0</v>
      </c>
      <c r="Y37" s="25">
        <f t="shared" si="17"/>
        <v>0</v>
      </c>
      <c r="Z37" s="25">
        <f t="shared" si="17"/>
        <v>0</v>
      </c>
      <c r="AA37" s="25">
        <f t="shared" si="17"/>
        <v>0</v>
      </c>
      <c r="AB37" s="25">
        <f t="shared" si="17"/>
        <v>0</v>
      </c>
      <c r="AC37" s="25">
        <f t="shared" si="17"/>
        <v>0</v>
      </c>
      <c r="AD37" s="25">
        <f t="shared" si="17"/>
        <v>0</v>
      </c>
      <c r="AE37" s="25">
        <f t="shared" si="17"/>
        <v>0</v>
      </c>
      <c r="AF37" s="25">
        <f t="shared" si="17"/>
        <v>0</v>
      </c>
      <c r="AG37" s="25">
        <f t="shared" si="17"/>
        <v>0</v>
      </c>
      <c r="AH37" s="25">
        <f t="shared" si="17"/>
        <v>0</v>
      </c>
      <c r="AI37" s="25">
        <f t="shared" si="17"/>
        <v>0</v>
      </c>
      <c r="AJ37" s="25">
        <f t="shared" si="17"/>
        <v>0</v>
      </c>
      <c r="AK37" s="25">
        <f t="shared" si="17"/>
        <v>0</v>
      </c>
      <c r="AL37" s="25">
        <f t="shared" si="17"/>
        <v>0</v>
      </c>
      <c r="AM37" s="25">
        <f t="shared" si="17"/>
        <v>0</v>
      </c>
      <c r="AN37" s="25">
        <f t="shared" si="17"/>
        <v>0</v>
      </c>
      <c r="AO37" s="25">
        <f t="shared" si="17"/>
        <v>0</v>
      </c>
      <c r="AP37" s="25">
        <f t="shared" si="17"/>
        <v>0</v>
      </c>
    </row>
    <row r="38" spans="1:42" x14ac:dyDescent="0.2">
      <c r="A38" s="40"/>
      <c r="B38" s="21" t="s">
        <v>114</v>
      </c>
      <c r="C38" s="28">
        <v>2</v>
      </c>
      <c r="D38" s="21" t="s">
        <v>3</v>
      </c>
      <c r="F38" s="66" t="s">
        <v>180</v>
      </c>
      <c r="G38" s="67" t="s">
        <v>143</v>
      </c>
      <c r="H38" s="72">
        <v>11343479</v>
      </c>
      <c r="I38" s="59" t="s">
        <v>181</v>
      </c>
      <c r="K38" s="24" t="s">
        <v>15</v>
      </c>
      <c r="L38" s="24"/>
      <c r="M38" s="25">
        <f t="shared" ref="M38:AP38" si="18">IF(M7&lt;11,0,IF(M7=$C51,$C50*$C9*(1+$C52)^L7, IF(M7=2*$C51,$C50*$C9*(1+$C52)^L7, IF(M7=3*$C51,$C50*$C9*(1+$C52)^L7, 0))))</f>
        <v>0</v>
      </c>
      <c r="N38" s="25">
        <f t="shared" si="18"/>
        <v>0</v>
      </c>
      <c r="O38" s="25">
        <f t="shared" si="18"/>
        <v>0</v>
      </c>
      <c r="P38" s="25">
        <f t="shared" si="18"/>
        <v>0</v>
      </c>
      <c r="Q38" s="25">
        <f t="shared" si="18"/>
        <v>0</v>
      </c>
      <c r="R38" s="25">
        <f t="shared" si="18"/>
        <v>0</v>
      </c>
      <c r="S38" s="25">
        <f t="shared" si="18"/>
        <v>0</v>
      </c>
      <c r="T38" s="25">
        <f t="shared" si="18"/>
        <v>0</v>
      </c>
      <c r="U38" s="25">
        <f t="shared" si="18"/>
        <v>0</v>
      </c>
      <c r="V38" s="25">
        <f t="shared" si="18"/>
        <v>0</v>
      </c>
      <c r="W38" s="25">
        <f t="shared" si="18"/>
        <v>0</v>
      </c>
      <c r="X38" s="25">
        <f t="shared" si="18"/>
        <v>0</v>
      </c>
      <c r="Y38" s="25">
        <f t="shared" si="18"/>
        <v>0</v>
      </c>
      <c r="Z38" s="25">
        <f t="shared" si="18"/>
        <v>0</v>
      </c>
      <c r="AA38" s="25">
        <f t="shared" si="18"/>
        <v>0</v>
      </c>
      <c r="AB38" s="25">
        <f t="shared" si="18"/>
        <v>0</v>
      </c>
      <c r="AC38" s="25">
        <f t="shared" si="18"/>
        <v>0</v>
      </c>
      <c r="AD38" s="25">
        <f t="shared" si="18"/>
        <v>0</v>
      </c>
      <c r="AE38" s="25">
        <f t="shared" si="18"/>
        <v>0</v>
      </c>
      <c r="AF38" s="25">
        <f t="shared" si="18"/>
        <v>0</v>
      </c>
      <c r="AG38" s="25">
        <f t="shared" si="18"/>
        <v>0</v>
      </c>
      <c r="AH38" s="25">
        <f t="shared" si="18"/>
        <v>0</v>
      </c>
      <c r="AI38" s="25">
        <f t="shared" si="18"/>
        <v>0</v>
      </c>
      <c r="AJ38" s="25">
        <f t="shared" si="18"/>
        <v>0</v>
      </c>
      <c r="AK38" s="25">
        <f t="shared" si="18"/>
        <v>0</v>
      </c>
      <c r="AL38" s="25">
        <f t="shared" si="18"/>
        <v>0</v>
      </c>
      <c r="AM38" s="25">
        <f t="shared" si="18"/>
        <v>0</v>
      </c>
      <c r="AN38" s="25">
        <f t="shared" si="18"/>
        <v>0</v>
      </c>
      <c r="AO38" s="25">
        <f t="shared" si="18"/>
        <v>0</v>
      </c>
      <c r="AP38" s="25">
        <f t="shared" si="18"/>
        <v>0</v>
      </c>
    </row>
    <row r="39" spans="1:42" x14ac:dyDescent="0.2">
      <c r="A39" s="41"/>
      <c r="B39" s="42" t="s">
        <v>84</v>
      </c>
      <c r="C39" s="52">
        <v>0.5</v>
      </c>
      <c r="D39" s="42" t="s">
        <v>6</v>
      </c>
      <c r="F39" s="65" t="s">
        <v>202</v>
      </c>
      <c r="G39" s="61"/>
      <c r="H39" s="18"/>
      <c r="I39" s="18"/>
      <c r="K39" s="24" t="s">
        <v>29</v>
      </c>
      <c r="L39" s="24"/>
      <c r="M39" s="47">
        <f>IF($C53="None", 0, IF($C53="MACRS",#REF!*- $C$54, 0))</f>
        <v>0</v>
      </c>
      <c r="N39" s="47">
        <f>IF($C53="None", 0, IF($C53="MACRS",#REF!*- $C$54, 0))</f>
        <v>0</v>
      </c>
      <c r="O39" s="47">
        <f>IF($C53="None", 0, IF($C53="MACRS",#REF!*- $C$54, 0))</f>
        <v>0</v>
      </c>
      <c r="P39" s="47">
        <f>IF($C53="None", 0, IF($C53="MACRS",#REF!*- $C$54, 0))</f>
        <v>0</v>
      </c>
      <c r="Q39" s="47">
        <f>IF($C53="None", 0, IF($C53="MACRS",#REF!*- $C$54, 0))</f>
        <v>0</v>
      </c>
      <c r="R39" s="47">
        <f>IF($C53="None", 0, IF($C53="MACRS",#REF!*- $C$54, 0))</f>
        <v>0</v>
      </c>
      <c r="S39" s="47">
        <f>IF($C53="None", 0, IF($C53="MACRS",#REF!*- $C$54, 0))</f>
        <v>0</v>
      </c>
      <c r="T39" s="47">
        <f>IF($C53="None", 0, IF($C53="MACRS",#REF!*- $C$54, 0))</f>
        <v>0</v>
      </c>
      <c r="U39" s="47">
        <f>IF($C53="None", 0, IF($C53="MACRS",#REF!*- $C$54, 0))</f>
        <v>0</v>
      </c>
      <c r="V39" s="47">
        <f>IF($C53="None", 0, IF($C53="MACRS",#REF!*- $C$54, 0))</f>
        <v>0</v>
      </c>
      <c r="W39" s="47">
        <f>IF($C53="None", 0, IF($C53="MACRS",#REF!*- $C$54, 0))</f>
        <v>0</v>
      </c>
      <c r="X39" s="47">
        <f>IF($C53="None", 0, IF($C53="MACRS",#REF!*- $C$54, 0))</f>
        <v>0</v>
      </c>
      <c r="Y39" s="47">
        <f>IF($C53="None", 0, IF($C53="MACRS",#REF!*- $C$54, 0))</f>
        <v>0</v>
      </c>
      <c r="Z39" s="47">
        <f>IF($C53="None", 0, IF($C53="MACRS",#REF!*- $C$54, 0))</f>
        <v>0</v>
      </c>
      <c r="AA39" s="47">
        <f>IF($C53="None", 0, IF($C53="MACRS",#REF!*- $C$54, 0))</f>
        <v>0</v>
      </c>
      <c r="AB39" s="47">
        <f>IF($C53="None", 0, IF($C53="MACRS",#REF!*- $C$54, 0))</f>
        <v>0</v>
      </c>
      <c r="AC39" s="47">
        <f>IF($C53="None", 0, IF($C53="MACRS",#REF!*- $C$54, 0))</f>
        <v>0</v>
      </c>
      <c r="AD39" s="47">
        <f>IF($C53="None", 0, IF($C53="MACRS",#REF!*- $C$54, 0))</f>
        <v>0</v>
      </c>
      <c r="AE39" s="47">
        <f>IF($C53="None", 0, IF($C53="MACRS",#REF!*- $C$54, 0))</f>
        <v>0</v>
      </c>
      <c r="AF39" s="47">
        <f>IF($C53="None", 0, IF($C53="MACRS",#REF!*- $C$54, 0))</f>
        <v>0</v>
      </c>
      <c r="AG39" s="47">
        <f>IF($C53="None", 0, IF($C53="MACRS",#REF!*- $C$54, 0))</f>
        <v>0</v>
      </c>
      <c r="AH39" s="47">
        <f>IF($C53="None", 0, IF($C53="MACRS",#REF!*- $C$54, 0))</f>
        <v>0</v>
      </c>
      <c r="AI39" s="47">
        <f>IF($C53="None", 0, IF($C53="MACRS",#REF!*- $C$54, 0))</f>
        <v>0</v>
      </c>
      <c r="AJ39" s="47">
        <f>IF($C53="None", 0, IF($C53="MACRS",#REF!*- $C$54, 0))</f>
        <v>0</v>
      </c>
      <c r="AK39" s="47">
        <f>IF($C53="None", 0, IF($C53="MACRS",#REF!*- $C$54, 0))</f>
        <v>0</v>
      </c>
      <c r="AL39" s="47">
        <f>IF($C53="None", 0, IF($C53="MACRS",#REF!*- $C$54, 0))</f>
        <v>0</v>
      </c>
      <c r="AM39" s="47">
        <f>IF($C53="None", 0, IF($C53="MACRS",#REF!*- $C$54, 0))</f>
        <v>0</v>
      </c>
      <c r="AN39" s="47">
        <f>IF($C53="None", 0, IF($C53="MACRS",#REF!*- $C$54, 0))</f>
        <v>0</v>
      </c>
      <c r="AO39" s="47">
        <f>IF($C53="None", 0, IF($C53="MACRS",#REF!*- $C$54, 0))</f>
        <v>0</v>
      </c>
      <c r="AP39" s="47">
        <f>IF($C53="None", 0, IF($C53="MACRS",#REF!*- $C$54, 0))</f>
        <v>0</v>
      </c>
    </row>
    <row r="40" spans="1:42" x14ac:dyDescent="0.2">
      <c r="A40" s="40" t="s">
        <v>108</v>
      </c>
      <c r="B40" s="21" t="s">
        <v>97</v>
      </c>
      <c r="C40" s="29">
        <v>0</v>
      </c>
      <c r="D40" s="21" t="s">
        <v>98</v>
      </c>
      <c r="F40" s="77" t="s">
        <v>182</v>
      </c>
      <c r="G40" s="78"/>
      <c r="H40" s="59"/>
      <c r="I40" s="106"/>
      <c r="K40" s="26" t="s">
        <v>37</v>
      </c>
      <c r="L40" s="24"/>
      <c r="M40" s="25">
        <f>-SUM(M34:M39)</f>
        <v>-324000</v>
      </c>
      <c r="N40" s="25">
        <f t="shared" ref="N40:AP40" si="19">-SUM(N34:N39)</f>
        <v>-328859.99999999994</v>
      </c>
      <c r="O40" s="25">
        <f t="shared" si="19"/>
        <v>-333792.89999999991</v>
      </c>
      <c r="P40" s="25">
        <f t="shared" si="19"/>
        <v>-338799.79349999985</v>
      </c>
      <c r="Q40" s="25">
        <f t="shared" si="19"/>
        <v>-343881.79040249984</v>
      </c>
      <c r="R40" s="25">
        <f t="shared" si="19"/>
        <v>-349040.01725853729</v>
      </c>
      <c r="S40" s="25">
        <f t="shared" si="19"/>
        <v>-354275.61751741526</v>
      </c>
      <c r="T40" s="25">
        <f t="shared" si="19"/>
        <v>-359589.75178017642</v>
      </c>
      <c r="U40" s="25">
        <f t="shared" si="19"/>
        <v>-364983.59805687907</v>
      </c>
      <c r="V40" s="25">
        <f t="shared" si="19"/>
        <v>-370458.35202773218</v>
      </c>
      <c r="W40" s="25">
        <f t="shared" si="19"/>
        <v>-2066960.6336008208</v>
      </c>
      <c r="X40" s="25">
        <f t="shared" si="19"/>
        <v>-68969.452608845502</v>
      </c>
      <c r="Y40" s="25">
        <f t="shared" si="19"/>
        <v>-71038.536187110847</v>
      </c>
      <c r="Z40" s="25">
        <f t="shared" si="19"/>
        <v>-73169.692272724176</v>
      </c>
      <c r="AA40" s="25">
        <f t="shared" si="19"/>
        <v>-75364.78304090591</v>
      </c>
      <c r="AB40" s="25">
        <f t="shared" si="19"/>
        <v>-77625.726532133092</v>
      </c>
      <c r="AC40" s="25">
        <f t="shared" si="19"/>
        <v>-79954.498328097063</v>
      </c>
      <c r="AD40" s="25">
        <f t="shared" si="19"/>
        <v>-82353.133277939982</v>
      </c>
      <c r="AE40" s="25">
        <f t="shared" si="19"/>
        <v>-84823.727276278179</v>
      </c>
      <c r="AF40" s="25">
        <f t="shared" si="19"/>
        <v>-87368.439094566522</v>
      </c>
      <c r="AG40" s="25">
        <f t="shared" si="19"/>
        <v>-89989.492267403519</v>
      </c>
      <c r="AH40" s="25">
        <f t="shared" si="19"/>
        <v>-92689.177035425615</v>
      </c>
      <c r="AI40" s="25">
        <f t="shared" si="19"/>
        <v>-95469.852346488391</v>
      </c>
      <c r="AJ40" s="25">
        <f t="shared" si="19"/>
        <v>-98333.947916883044</v>
      </c>
      <c r="AK40" s="25">
        <f t="shared" si="19"/>
        <v>-101283.96635438951</v>
      </c>
      <c r="AL40" s="25">
        <f t="shared" si="19"/>
        <v>-104322.48534502121</v>
      </c>
      <c r="AM40" s="25">
        <f t="shared" si="19"/>
        <v>-107452.15990537185</v>
      </c>
      <c r="AN40" s="25">
        <f t="shared" si="19"/>
        <v>-110675.724702533</v>
      </c>
      <c r="AO40" s="25">
        <f t="shared" si="19"/>
        <v>-113995.99644360899</v>
      </c>
      <c r="AP40" s="25">
        <f t="shared" si="19"/>
        <v>-117415.87633691725</v>
      </c>
    </row>
    <row r="41" spans="1:42" x14ac:dyDescent="0.2">
      <c r="A41" s="40"/>
      <c r="B41" s="21"/>
      <c r="C41" s="29">
        <v>0</v>
      </c>
      <c r="D41" s="21" t="s">
        <v>99</v>
      </c>
      <c r="F41" s="61" t="s">
        <v>179</v>
      </c>
      <c r="G41" s="65" t="s">
        <v>145</v>
      </c>
      <c r="H41" s="75">
        <v>12472873</v>
      </c>
      <c r="I41" s="18" t="s">
        <v>146</v>
      </c>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row>
    <row r="42" spans="1:42" x14ac:dyDescent="0.2">
      <c r="A42" s="41"/>
      <c r="B42" s="42"/>
      <c r="C42" s="49">
        <v>0</v>
      </c>
      <c r="D42" s="42" t="s">
        <v>100</v>
      </c>
      <c r="F42" s="61" t="s">
        <v>184</v>
      </c>
      <c r="G42" s="65" t="s">
        <v>147</v>
      </c>
      <c r="H42" s="76">
        <v>769</v>
      </c>
      <c r="I42" s="18" t="s">
        <v>157</v>
      </c>
      <c r="K42" s="24" t="s">
        <v>38</v>
      </c>
      <c r="L42" s="24"/>
      <c r="M42" s="25">
        <f t="shared" ref="M42:AP42" si="20">M31+M40</f>
        <v>28341.472000000009</v>
      </c>
      <c r="N42" s="25">
        <f t="shared" si="20"/>
        <v>26978.46110960003</v>
      </c>
      <c r="O42" s="25">
        <f t="shared" si="20"/>
        <v>25577.257836112869</v>
      </c>
      <c r="P42" s="25">
        <f t="shared" si="20"/>
        <v>24137.113152636215</v>
      </c>
      <c r="Q42" s="25">
        <f t="shared" si="20"/>
        <v>22657.265048663656</v>
      </c>
      <c r="R42" s="25">
        <f t="shared" si="20"/>
        <v>21136.938317978871</v>
      </c>
      <c r="S42" s="25">
        <f t="shared" si="20"/>
        <v>19575.344343197765</v>
      </c>
      <c r="T42" s="25">
        <f t="shared" si="20"/>
        <v>17971.680876903236</v>
      </c>
      <c r="U42" s="25">
        <f t="shared" si="20"/>
        <v>16325.131819322007</v>
      </c>
      <c r="V42" s="25">
        <f t="shared" si="20"/>
        <v>14634.866992490133</v>
      </c>
      <c r="W42" s="25">
        <f t="shared" si="20"/>
        <v>-1678045.3643818228</v>
      </c>
      <c r="X42" s="25">
        <f t="shared" si="20"/>
        <v>323805.80065715098</v>
      </c>
      <c r="Y42" s="25">
        <f t="shared" si="20"/>
        <v>325635.01146755065</v>
      </c>
      <c r="Z42" s="25">
        <f t="shared" si="20"/>
        <v>327440.84034240979</v>
      </c>
      <c r="AA42" s="25">
        <f t="shared" si="20"/>
        <v>329221.80911043315</v>
      </c>
      <c r="AB42" s="25">
        <f t="shared" si="20"/>
        <v>330976.38754630799</v>
      </c>
      <c r="AC42" s="25">
        <f t="shared" si="20"/>
        <v>332702.99173257238</v>
      </c>
      <c r="AD42" s="25">
        <f t="shared" si="20"/>
        <v>334399.98237158154</v>
      </c>
      <c r="AE42" s="25">
        <f t="shared" si="20"/>
        <v>336065.66304606484</v>
      </c>
      <c r="AF42" s="25">
        <f t="shared" si="20"/>
        <v>337698.27842672582</v>
      </c>
      <c r="AG42" s="25">
        <f t="shared" si="20"/>
        <v>339296.01242528751</v>
      </c>
      <c r="AH42" s="25">
        <f t="shared" si="20"/>
        <v>340856.9862913402</v>
      </c>
      <c r="AI42" s="25">
        <f t="shared" si="20"/>
        <v>342379.25665129564</v>
      </c>
      <c r="AJ42" s="25">
        <f t="shared" si="20"/>
        <v>343860.8134877038</v>
      </c>
      <c r="AK42" s="25">
        <f t="shared" si="20"/>
        <v>345299.5780571379</v>
      </c>
      <c r="AL42" s="25">
        <f t="shared" si="20"/>
        <v>346693.40074479056</v>
      </c>
      <c r="AM42" s="25">
        <f t="shared" si="20"/>
        <v>348040.05885388132</v>
      </c>
      <c r="AN42" s="25">
        <f t="shared" si="20"/>
        <v>349337.25432790566</v>
      </c>
      <c r="AO42" s="25">
        <f t="shared" si="20"/>
        <v>350582.61140370666</v>
      </c>
      <c r="AP42" s="25">
        <f t="shared" si="20"/>
        <v>351773.67419328308</v>
      </c>
    </row>
    <row r="43" spans="1:42" x14ac:dyDescent="0.2">
      <c r="A43" s="43" t="s">
        <v>71</v>
      </c>
      <c r="B43" s="111" t="s">
        <v>214</v>
      </c>
      <c r="C43" s="48">
        <v>0</v>
      </c>
      <c r="D43" s="42" t="s">
        <v>3</v>
      </c>
      <c r="F43" s="61" t="s">
        <v>185</v>
      </c>
      <c r="G43" s="65" t="s">
        <v>148</v>
      </c>
      <c r="H43" s="75">
        <v>134875</v>
      </c>
      <c r="I43" s="18" t="s">
        <v>149</v>
      </c>
      <c r="K43" s="24" t="s">
        <v>50</v>
      </c>
      <c r="L43" s="24"/>
      <c r="M43" s="47">
        <f t="shared" ref="M43:AP43" si="21">IF($C56="No", 0, -$C55*M42)</f>
        <v>0</v>
      </c>
      <c r="N43" s="47">
        <f t="shared" si="21"/>
        <v>0</v>
      </c>
      <c r="O43" s="47">
        <f t="shared" si="21"/>
        <v>0</v>
      </c>
      <c r="P43" s="47">
        <f t="shared" si="21"/>
        <v>0</v>
      </c>
      <c r="Q43" s="47">
        <f t="shared" si="21"/>
        <v>0</v>
      </c>
      <c r="R43" s="47">
        <f t="shared" si="21"/>
        <v>0</v>
      </c>
      <c r="S43" s="47">
        <f t="shared" si="21"/>
        <v>0</v>
      </c>
      <c r="T43" s="47">
        <f t="shared" si="21"/>
        <v>0</v>
      </c>
      <c r="U43" s="47">
        <f t="shared" si="21"/>
        <v>0</v>
      </c>
      <c r="V43" s="47">
        <f t="shared" si="21"/>
        <v>0</v>
      </c>
      <c r="W43" s="47">
        <f t="shared" si="21"/>
        <v>0</v>
      </c>
      <c r="X43" s="47">
        <f t="shared" si="21"/>
        <v>0</v>
      </c>
      <c r="Y43" s="47">
        <f t="shared" si="21"/>
        <v>0</v>
      </c>
      <c r="Z43" s="47">
        <f t="shared" si="21"/>
        <v>0</v>
      </c>
      <c r="AA43" s="47">
        <f t="shared" si="21"/>
        <v>0</v>
      </c>
      <c r="AB43" s="47">
        <f t="shared" si="21"/>
        <v>0</v>
      </c>
      <c r="AC43" s="47">
        <f t="shared" si="21"/>
        <v>0</v>
      </c>
      <c r="AD43" s="47">
        <f t="shared" si="21"/>
        <v>0</v>
      </c>
      <c r="AE43" s="47">
        <f t="shared" si="21"/>
        <v>0</v>
      </c>
      <c r="AF43" s="47">
        <f t="shared" si="21"/>
        <v>0</v>
      </c>
      <c r="AG43" s="47">
        <f t="shared" si="21"/>
        <v>0</v>
      </c>
      <c r="AH43" s="47">
        <f t="shared" si="21"/>
        <v>0</v>
      </c>
      <c r="AI43" s="47">
        <f t="shared" si="21"/>
        <v>0</v>
      </c>
      <c r="AJ43" s="47">
        <f t="shared" si="21"/>
        <v>0</v>
      </c>
      <c r="AK43" s="47">
        <f t="shared" si="21"/>
        <v>0</v>
      </c>
      <c r="AL43" s="47">
        <f t="shared" si="21"/>
        <v>0</v>
      </c>
      <c r="AM43" s="47">
        <f t="shared" si="21"/>
        <v>0</v>
      </c>
      <c r="AN43" s="47">
        <f t="shared" si="21"/>
        <v>0</v>
      </c>
      <c r="AO43" s="47">
        <f t="shared" si="21"/>
        <v>0</v>
      </c>
      <c r="AP43" s="47">
        <f t="shared" si="21"/>
        <v>0</v>
      </c>
    </row>
    <row r="44" spans="1:42" x14ac:dyDescent="0.2">
      <c r="A44" s="40" t="s">
        <v>82</v>
      </c>
      <c r="B44" s="21" t="s">
        <v>32</v>
      </c>
      <c r="C44" s="29">
        <v>0</v>
      </c>
      <c r="D44" s="21" t="s">
        <v>33</v>
      </c>
      <c r="K44" s="24" t="s">
        <v>52</v>
      </c>
      <c r="L44" s="24"/>
      <c r="M44" s="25">
        <f>SUM(M42:M43)</f>
        <v>28341.472000000009</v>
      </c>
      <c r="N44" s="25">
        <f t="shared" ref="N44:AP44" si="22">SUM(N42:N43)</f>
        <v>26978.46110960003</v>
      </c>
      <c r="O44" s="25">
        <f t="shared" si="22"/>
        <v>25577.257836112869</v>
      </c>
      <c r="P44" s="25">
        <f t="shared" si="22"/>
        <v>24137.113152636215</v>
      </c>
      <c r="Q44" s="25">
        <f t="shared" si="22"/>
        <v>22657.265048663656</v>
      </c>
      <c r="R44" s="25">
        <f t="shared" si="22"/>
        <v>21136.938317978871</v>
      </c>
      <c r="S44" s="25">
        <f t="shared" si="22"/>
        <v>19575.344343197765</v>
      </c>
      <c r="T44" s="25">
        <f t="shared" si="22"/>
        <v>17971.680876903236</v>
      </c>
      <c r="U44" s="25">
        <f t="shared" si="22"/>
        <v>16325.131819322007</v>
      </c>
      <c r="V44" s="25">
        <f t="shared" si="22"/>
        <v>14634.866992490133</v>
      </c>
      <c r="W44" s="25">
        <f t="shared" si="22"/>
        <v>-1678045.3643818228</v>
      </c>
      <c r="X44" s="25">
        <f t="shared" si="22"/>
        <v>323805.80065715098</v>
      </c>
      <c r="Y44" s="25">
        <f t="shared" si="22"/>
        <v>325635.01146755065</v>
      </c>
      <c r="Z44" s="25">
        <f t="shared" si="22"/>
        <v>327440.84034240979</v>
      </c>
      <c r="AA44" s="25">
        <f t="shared" si="22"/>
        <v>329221.80911043315</v>
      </c>
      <c r="AB44" s="25">
        <f t="shared" si="22"/>
        <v>330976.38754630799</v>
      </c>
      <c r="AC44" s="25">
        <f t="shared" si="22"/>
        <v>332702.99173257238</v>
      </c>
      <c r="AD44" s="25">
        <f t="shared" si="22"/>
        <v>334399.98237158154</v>
      </c>
      <c r="AE44" s="25">
        <f t="shared" si="22"/>
        <v>336065.66304606484</v>
      </c>
      <c r="AF44" s="25">
        <f t="shared" si="22"/>
        <v>337698.27842672582</v>
      </c>
      <c r="AG44" s="25">
        <f t="shared" si="22"/>
        <v>339296.01242528751</v>
      </c>
      <c r="AH44" s="25">
        <f t="shared" si="22"/>
        <v>340856.9862913402</v>
      </c>
      <c r="AI44" s="25">
        <f t="shared" si="22"/>
        <v>342379.25665129564</v>
      </c>
      <c r="AJ44" s="25">
        <f t="shared" si="22"/>
        <v>343860.8134877038</v>
      </c>
      <c r="AK44" s="25">
        <f t="shared" si="22"/>
        <v>345299.5780571379</v>
      </c>
      <c r="AL44" s="25">
        <f t="shared" si="22"/>
        <v>346693.40074479056</v>
      </c>
      <c r="AM44" s="25">
        <f t="shared" si="22"/>
        <v>348040.05885388132</v>
      </c>
      <c r="AN44" s="25">
        <f t="shared" si="22"/>
        <v>349337.25432790566</v>
      </c>
      <c r="AO44" s="25">
        <f t="shared" si="22"/>
        <v>350582.61140370666</v>
      </c>
      <c r="AP44" s="25">
        <f t="shared" si="22"/>
        <v>351773.67419328308</v>
      </c>
    </row>
    <row r="45" spans="1:42" x14ac:dyDescent="0.2">
      <c r="A45" s="40"/>
      <c r="B45" s="21"/>
      <c r="C45" s="29">
        <v>0</v>
      </c>
      <c r="D45" s="21" t="s">
        <v>34</v>
      </c>
      <c r="F45" s="1"/>
      <c r="G45" s="1"/>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row>
    <row r="46" spans="1:42" x14ac:dyDescent="0.2">
      <c r="A46" s="41"/>
      <c r="B46" s="42"/>
      <c r="C46" s="49">
        <v>0</v>
      </c>
      <c r="D46" s="42" t="s">
        <v>35</v>
      </c>
      <c r="K46" s="24" t="s">
        <v>53</v>
      </c>
      <c r="L46" s="24"/>
      <c r="M46" s="25">
        <f t="shared" ref="M46:AP46" si="23">-M39</f>
        <v>0</v>
      </c>
      <c r="N46" s="25">
        <f t="shared" si="23"/>
        <v>0</v>
      </c>
      <c r="O46" s="25">
        <f t="shared" si="23"/>
        <v>0</v>
      </c>
      <c r="P46" s="25">
        <f t="shared" si="23"/>
        <v>0</v>
      </c>
      <c r="Q46" s="25">
        <f t="shared" si="23"/>
        <v>0</v>
      </c>
      <c r="R46" s="25">
        <f t="shared" si="23"/>
        <v>0</v>
      </c>
      <c r="S46" s="25">
        <f t="shared" si="23"/>
        <v>0</v>
      </c>
      <c r="T46" s="25">
        <f t="shared" si="23"/>
        <v>0</v>
      </c>
      <c r="U46" s="25">
        <f t="shared" si="23"/>
        <v>0</v>
      </c>
      <c r="V46" s="25">
        <f t="shared" si="23"/>
        <v>0</v>
      </c>
      <c r="W46" s="25">
        <f t="shared" si="23"/>
        <v>0</v>
      </c>
      <c r="X46" s="25">
        <f t="shared" si="23"/>
        <v>0</v>
      </c>
      <c r="Y46" s="25">
        <f t="shared" si="23"/>
        <v>0</v>
      </c>
      <c r="Z46" s="25">
        <f t="shared" si="23"/>
        <v>0</v>
      </c>
      <c r="AA46" s="25">
        <f t="shared" si="23"/>
        <v>0</v>
      </c>
      <c r="AB46" s="25">
        <f t="shared" si="23"/>
        <v>0</v>
      </c>
      <c r="AC46" s="25">
        <f t="shared" si="23"/>
        <v>0</v>
      </c>
      <c r="AD46" s="25">
        <f t="shared" si="23"/>
        <v>0</v>
      </c>
      <c r="AE46" s="25">
        <f t="shared" si="23"/>
        <v>0</v>
      </c>
      <c r="AF46" s="25">
        <f t="shared" si="23"/>
        <v>0</v>
      </c>
      <c r="AG46" s="25">
        <f t="shared" si="23"/>
        <v>0</v>
      </c>
      <c r="AH46" s="25">
        <f t="shared" si="23"/>
        <v>0</v>
      </c>
      <c r="AI46" s="25">
        <f t="shared" si="23"/>
        <v>0</v>
      </c>
      <c r="AJ46" s="25">
        <f t="shared" si="23"/>
        <v>0</v>
      </c>
      <c r="AK46" s="25">
        <f t="shared" si="23"/>
        <v>0</v>
      </c>
      <c r="AL46" s="25">
        <f t="shared" si="23"/>
        <v>0</v>
      </c>
      <c r="AM46" s="25">
        <f t="shared" si="23"/>
        <v>0</v>
      </c>
      <c r="AN46" s="25">
        <f t="shared" si="23"/>
        <v>0</v>
      </c>
      <c r="AO46" s="25">
        <f t="shared" si="23"/>
        <v>0</v>
      </c>
      <c r="AP46" s="25">
        <f t="shared" si="23"/>
        <v>0</v>
      </c>
    </row>
    <row r="47" spans="1:42" x14ac:dyDescent="0.2">
      <c r="A47" s="40" t="s">
        <v>12</v>
      </c>
      <c r="B47" s="21" t="s">
        <v>120</v>
      </c>
      <c r="C47" s="35">
        <v>19.93</v>
      </c>
      <c r="D47" s="21" t="s">
        <v>121</v>
      </c>
      <c r="K47" s="24" t="s">
        <v>54</v>
      </c>
      <c r="L47" s="24"/>
      <c r="M47" s="25">
        <f t="shared" ref="M47:AP47" si="24">IF(M7&gt;$C17, 0, IF($C15="Yes", -PPMT($C18, M7, $C17, -$L20), 0))</f>
        <v>0</v>
      </c>
      <c r="N47" s="25">
        <f t="shared" si="24"/>
        <v>0</v>
      </c>
      <c r="O47" s="25">
        <f t="shared" si="24"/>
        <v>0</v>
      </c>
      <c r="P47" s="25">
        <f t="shared" si="24"/>
        <v>0</v>
      </c>
      <c r="Q47" s="25">
        <f t="shared" si="24"/>
        <v>0</v>
      </c>
      <c r="R47" s="25">
        <f t="shared" si="24"/>
        <v>0</v>
      </c>
      <c r="S47" s="25">
        <f t="shared" si="24"/>
        <v>0</v>
      </c>
      <c r="T47" s="25">
        <f t="shared" si="24"/>
        <v>0</v>
      </c>
      <c r="U47" s="25">
        <f t="shared" si="24"/>
        <v>0</v>
      </c>
      <c r="V47" s="25">
        <f t="shared" si="24"/>
        <v>0</v>
      </c>
      <c r="W47" s="25">
        <f t="shared" si="24"/>
        <v>0</v>
      </c>
      <c r="X47" s="25">
        <f t="shared" si="24"/>
        <v>0</v>
      </c>
      <c r="Y47" s="25">
        <f t="shared" si="24"/>
        <v>0</v>
      </c>
      <c r="Z47" s="25">
        <f t="shared" si="24"/>
        <v>0</v>
      </c>
      <c r="AA47" s="25">
        <f t="shared" si="24"/>
        <v>0</v>
      </c>
      <c r="AB47" s="25">
        <f t="shared" si="24"/>
        <v>0</v>
      </c>
      <c r="AC47" s="25">
        <f t="shared" si="24"/>
        <v>0</v>
      </c>
      <c r="AD47" s="25">
        <f t="shared" si="24"/>
        <v>0</v>
      </c>
      <c r="AE47" s="25">
        <f t="shared" si="24"/>
        <v>0</v>
      </c>
      <c r="AF47" s="25">
        <f t="shared" si="24"/>
        <v>0</v>
      </c>
      <c r="AG47" s="25">
        <f t="shared" si="24"/>
        <v>0</v>
      </c>
      <c r="AH47" s="25">
        <f t="shared" si="24"/>
        <v>0</v>
      </c>
      <c r="AI47" s="25">
        <f t="shared" si="24"/>
        <v>0</v>
      </c>
      <c r="AJ47" s="25">
        <f t="shared" si="24"/>
        <v>0</v>
      </c>
      <c r="AK47" s="25">
        <f t="shared" si="24"/>
        <v>0</v>
      </c>
      <c r="AL47" s="25">
        <f t="shared" si="24"/>
        <v>0</v>
      </c>
      <c r="AM47" s="25">
        <f t="shared" si="24"/>
        <v>0</v>
      </c>
      <c r="AN47" s="25">
        <f t="shared" si="24"/>
        <v>0</v>
      </c>
      <c r="AO47" s="25">
        <f t="shared" si="24"/>
        <v>0</v>
      </c>
      <c r="AP47" s="25">
        <f t="shared" si="24"/>
        <v>0</v>
      </c>
    </row>
    <row r="48" spans="1:42" x14ac:dyDescent="0.2">
      <c r="A48" s="40"/>
      <c r="B48" s="21" t="s">
        <v>17</v>
      </c>
      <c r="C48" s="28">
        <v>0</v>
      </c>
      <c r="D48" s="21" t="s">
        <v>18</v>
      </c>
      <c r="H48" s="6"/>
      <c r="K48" s="24" t="s">
        <v>62</v>
      </c>
      <c r="L48" s="25">
        <f t="shared" ref="L48:AP48" si="25">SUM(L44:L47)+L21</f>
        <v>0</v>
      </c>
      <c r="M48" s="25">
        <f t="shared" si="25"/>
        <v>28341.772000000008</v>
      </c>
      <c r="N48" s="25">
        <f t="shared" si="25"/>
        <v>26978.46110960003</v>
      </c>
      <c r="O48" s="25">
        <f t="shared" si="25"/>
        <v>25577.257836112869</v>
      </c>
      <c r="P48" s="25">
        <f t="shared" si="25"/>
        <v>24137.113152636215</v>
      </c>
      <c r="Q48" s="25">
        <f t="shared" si="25"/>
        <v>22657.265048663656</v>
      </c>
      <c r="R48" s="25">
        <f t="shared" si="25"/>
        <v>21136.938317978871</v>
      </c>
      <c r="S48" s="25">
        <f t="shared" si="25"/>
        <v>19575.344343197765</v>
      </c>
      <c r="T48" s="25">
        <f t="shared" si="25"/>
        <v>17971.680876903236</v>
      </c>
      <c r="U48" s="25">
        <f t="shared" si="25"/>
        <v>16325.131819322007</v>
      </c>
      <c r="V48" s="25">
        <f t="shared" si="25"/>
        <v>14634.866992490133</v>
      </c>
      <c r="W48" s="25">
        <f t="shared" si="25"/>
        <v>-1678045.3643818228</v>
      </c>
      <c r="X48" s="25">
        <f t="shared" si="25"/>
        <v>323805.80065715098</v>
      </c>
      <c r="Y48" s="25">
        <f t="shared" si="25"/>
        <v>325635.01146755065</v>
      </c>
      <c r="Z48" s="25">
        <f t="shared" si="25"/>
        <v>327440.84034240979</v>
      </c>
      <c r="AA48" s="25">
        <f t="shared" si="25"/>
        <v>329221.80911043315</v>
      </c>
      <c r="AB48" s="25">
        <f t="shared" si="25"/>
        <v>330976.38754630799</v>
      </c>
      <c r="AC48" s="25">
        <f t="shared" si="25"/>
        <v>332702.99173257238</v>
      </c>
      <c r="AD48" s="25">
        <f t="shared" si="25"/>
        <v>334399.98237158154</v>
      </c>
      <c r="AE48" s="25">
        <f t="shared" si="25"/>
        <v>336065.66304606484</v>
      </c>
      <c r="AF48" s="25">
        <f t="shared" si="25"/>
        <v>337698.27842672582</v>
      </c>
      <c r="AG48" s="25">
        <f t="shared" si="25"/>
        <v>339296.01242528751</v>
      </c>
      <c r="AH48" s="25">
        <f t="shared" si="25"/>
        <v>340856.9862913402</v>
      </c>
      <c r="AI48" s="25">
        <f t="shared" si="25"/>
        <v>342379.25665129564</v>
      </c>
      <c r="AJ48" s="25">
        <f t="shared" si="25"/>
        <v>343860.8134877038</v>
      </c>
      <c r="AK48" s="25">
        <f t="shared" si="25"/>
        <v>345299.5780571379</v>
      </c>
      <c r="AL48" s="25">
        <f t="shared" si="25"/>
        <v>346693.40074479056</v>
      </c>
      <c r="AM48" s="25">
        <f t="shared" si="25"/>
        <v>348040.05885388132</v>
      </c>
      <c r="AN48" s="25">
        <f t="shared" si="25"/>
        <v>349337.25432790566</v>
      </c>
      <c r="AO48" s="25">
        <f t="shared" si="25"/>
        <v>350582.61140370666</v>
      </c>
      <c r="AP48" s="25">
        <f t="shared" si="25"/>
        <v>351773.67419328308</v>
      </c>
    </row>
    <row r="49" spans="1:42" x14ac:dyDescent="0.2">
      <c r="A49" s="40"/>
      <c r="B49" s="21" t="s">
        <v>117</v>
      </c>
      <c r="C49" s="36">
        <v>0.03</v>
      </c>
      <c r="D49" s="21" t="s">
        <v>20</v>
      </c>
      <c r="H49" s="6"/>
      <c r="K49" s="24" t="s">
        <v>39</v>
      </c>
      <c r="L49" s="25">
        <f>SUM($L48:L48)</f>
        <v>0</v>
      </c>
      <c r="M49" s="25">
        <f>SUM($L48:M48)</f>
        <v>28341.772000000008</v>
      </c>
      <c r="N49" s="25">
        <f>SUM($L48:N48)</f>
        <v>55320.233109600042</v>
      </c>
      <c r="O49" s="25">
        <f>SUM($L48:O48)</f>
        <v>80897.490945712911</v>
      </c>
      <c r="P49" s="25">
        <f>SUM($L48:P48)</f>
        <v>105034.60409834913</v>
      </c>
      <c r="Q49" s="25">
        <f>SUM($L48:Q48)</f>
        <v>127691.86914701278</v>
      </c>
      <c r="R49" s="25">
        <f>SUM($L48:R48)</f>
        <v>148828.80746499164</v>
      </c>
      <c r="S49" s="25">
        <f>SUM($L48:S48)</f>
        <v>168404.1518081894</v>
      </c>
      <c r="T49" s="25">
        <f>SUM($L48:T48)</f>
        <v>186375.83268509264</v>
      </c>
      <c r="U49" s="25">
        <f>SUM($L48:U48)</f>
        <v>202700.96450441465</v>
      </c>
      <c r="V49" s="25">
        <f>SUM($L48:V48)</f>
        <v>217335.83149690478</v>
      </c>
      <c r="W49" s="25">
        <f>SUM($L48:W48)</f>
        <v>-1460709.5328849179</v>
      </c>
      <c r="X49" s="25">
        <f>SUM($L48:X48)</f>
        <v>-1136903.7322277669</v>
      </c>
      <c r="Y49" s="25">
        <f>SUM($L48:Y48)</f>
        <v>-811268.72076021624</v>
      </c>
      <c r="Z49" s="25">
        <f>SUM($L48:Z48)</f>
        <v>-483827.88041780645</v>
      </c>
      <c r="AA49" s="25">
        <f>SUM($L48:AA48)</f>
        <v>-154606.07130737329</v>
      </c>
      <c r="AB49" s="25">
        <f>SUM($L48:AB48)</f>
        <v>176370.3162389347</v>
      </c>
      <c r="AC49" s="25">
        <f>SUM($L48:AC48)</f>
        <v>509073.30797150708</v>
      </c>
      <c r="AD49" s="25">
        <f>SUM($L48:AD48)</f>
        <v>843473.29034308856</v>
      </c>
      <c r="AE49" s="25">
        <f>SUM($L48:AE48)</f>
        <v>1179538.9533891534</v>
      </c>
      <c r="AF49" s="25">
        <f>SUM($L48:AF48)</f>
        <v>1517237.2318158792</v>
      </c>
      <c r="AG49" s="25">
        <f>SUM($L48:AG48)</f>
        <v>1856533.2442411669</v>
      </c>
      <c r="AH49" s="25">
        <f>SUM($L48:AH48)</f>
        <v>2197390.2305325069</v>
      </c>
      <c r="AI49" s="25">
        <f>SUM($L48:AI48)</f>
        <v>2539769.4871838028</v>
      </c>
      <c r="AJ49" s="25">
        <f>SUM($L48:AJ48)</f>
        <v>2883630.3006715067</v>
      </c>
      <c r="AK49" s="25">
        <f>SUM($L48:AK48)</f>
        <v>3228929.8787286445</v>
      </c>
      <c r="AL49" s="25">
        <f>SUM($L48:AL48)</f>
        <v>3575623.2794734351</v>
      </c>
      <c r="AM49" s="25">
        <f>SUM($L48:AM48)</f>
        <v>3923663.3383273166</v>
      </c>
      <c r="AN49" s="25">
        <f>SUM($L48:AN48)</f>
        <v>4273000.5926552219</v>
      </c>
      <c r="AO49" s="25">
        <f>SUM($L48:AO48)</f>
        <v>4623583.2040589284</v>
      </c>
      <c r="AP49" s="25">
        <f>SUM($L48:AP48)</f>
        <v>4975356.878252212</v>
      </c>
    </row>
    <row r="50" spans="1:42" x14ac:dyDescent="0.2">
      <c r="A50" s="40"/>
      <c r="B50" s="21" t="s">
        <v>23</v>
      </c>
      <c r="C50" s="32">
        <v>0</v>
      </c>
      <c r="D50" s="21" t="s">
        <v>24</v>
      </c>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row>
    <row r="51" spans="1:42" x14ac:dyDescent="0.2">
      <c r="A51" s="40"/>
      <c r="B51" s="21" t="s">
        <v>21</v>
      </c>
      <c r="C51" s="38">
        <v>10</v>
      </c>
      <c r="D51" s="21" t="s">
        <v>22</v>
      </c>
      <c r="K51" s="24"/>
      <c r="L51" s="91"/>
      <c r="M51" s="24">
        <f t="shared" ref="M51:AP51" si="26">IF(M49&gt;0,M7,"")</f>
        <v>1</v>
      </c>
      <c r="N51" s="24">
        <f t="shared" si="26"/>
        <v>2</v>
      </c>
      <c r="O51" s="24">
        <f t="shared" si="26"/>
        <v>3</v>
      </c>
      <c r="P51" s="24">
        <f t="shared" si="26"/>
        <v>4</v>
      </c>
      <c r="Q51" s="24">
        <f t="shared" si="26"/>
        <v>5</v>
      </c>
      <c r="R51" s="24">
        <f t="shared" si="26"/>
        <v>6</v>
      </c>
      <c r="S51" s="24">
        <f t="shared" si="26"/>
        <v>7</v>
      </c>
      <c r="T51" s="24">
        <f t="shared" si="26"/>
        <v>8</v>
      </c>
      <c r="U51" s="24">
        <f t="shared" si="26"/>
        <v>9</v>
      </c>
      <c r="V51" s="24">
        <f t="shared" si="26"/>
        <v>10</v>
      </c>
      <c r="W51" s="24" t="str">
        <f t="shared" si="26"/>
        <v/>
      </c>
      <c r="X51" s="24" t="str">
        <f t="shared" si="26"/>
        <v/>
      </c>
      <c r="Y51" s="24" t="str">
        <f t="shared" si="26"/>
        <v/>
      </c>
      <c r="Z51" s="24" t="str">
        <f t="shared" si="26"/>
        <v/>
      </c>
      <c r="AA51" s="24" t="str">
        <f t="shared" si="26"/>
        <v/>
      </c>
      <c r="AB51" s="24">
        <f t="shared" si="26"/>
        <v>16</v>
      </c>
      <c r="AC51" s="24">
        <f t="shared" si="26"/>
        <v>17</v>
      </c>
      <c r="AD51" s="24">
        <f t="shared" si="26"/>
        <v>18</v>
      </c>
      <c r="AE51" s="24">
        <f t="shared" si="26"/>
        <v>19</v>
      </c>
      <c r="AF51" s="24">
        <f t="shared" si="26"/>
        <v>20</v>
      </c>
      <c r="AG51" s="24">
        <f t="shared" si="26"/>
        <v>21</v>
      </c>
      <c r="AH51" s="24">
        <f t="shared" si="26"/>
        <v>22</v>
      </c>
      <c r="AI51" s="24">
        <f t="shared" si="26"/>
        <v>23</v>
      </c>
      <c r="AJ51" s="24">
        <f t="shared" si="26"/>
        <v>24</v>
      </c>
      <c r="AK51" s="24">
        <f t="shared" si="26"/>
        <v>25</v>
      </c>
      <c r="AL51" s="24">
        <f t="shared" si="26"/>
        <v>26</v>
      </c>
      <c r="AM51" s="24">
        <f t="shared" si="26"/>
        <v>27</v>
      </c>
      <c r="AN51" s="24">
        <f t="shared" si="26"/>
        <v>28</v>
      </c>
      <c r="AO51" s="24">
        <f t="shared" si="26"/>
        <v>29</v>
      </c>
      <c r="AP51" s="24">
        <f t="shared" si="26"/>
        <v>30</v>
      </c>
    </row>
    <row r="52" spans="1:42" x14ac:dyDescent="0.2">
      <c r="A52" s="41"/>
      <c r="B52" s="42" t="s">
        <v>19</v>
      </c>
      <c r="C52" s="53">
        <v>-0.03</v>
      </c>
      <c r="D52" s="42" t="s">
        <v>20</v>
      </c>
    </row>
    <row r="53" spans="1:42" ht="15" x14ac:dyDescent="0.25">
      <c r="A53" s="40" t="s">
        <v>110</v>
      </c>
      <c r="B53" s="21" t="s">
        <v>30</v>
      </c>
      <c r="C53" s="31" t="s">
        <v>65</v>
      </c>
      <c r="D53" s="21" t="s">
        <v>41</v>
      </c>
      <c r="F53" s="9"/>
      <c r="G53" s="9"/>
      <c r="H53" s="9"/>
      <c r="I53" s="9"/>
    </row>
    <row r="54" spans="1:42" ht="15" x14ac:dyDescent="0.25">
      <c r="A54" s="41"/>
      <c r="B54" s="42" t="s">
        <v>31</v>
      </c>
      <c r="C54" s="49">
        <f>-L12</f>
        <v>0</v>
      </c>
      <c r="D54" s="42" t="s">
        <v>3</v>
      </c>
      <c r="F54" s="9"/>
      <c r="G54" s="9"/>
      <c r="H54" s="9"/>
      <c r="I54" s="9"/>
    </row>
    <row r="55" spans="1:42" ht="15" x14ac:dyDescent="0.25">
      <c r="A55" s="40" t="s">
        <v>111</v>
      </c>
      <c r="B55" s="21" t="s">
        <v>51</v>
      </c>
      <c r="C55" s="32">
        <v>0</v>
      </c>
      <c r="D55" s="21" t="s">
        <v>6</v>
      </c>
      <c r="F55" s="9"/>
      <c r="G55" s="9"/>
      <c r="H55" s="9"/>
      <c r="I55" s="9"/>
    </row>
    <row r="56" spans="1:42" ht="15" x14ac:dyDescent="0.25">
      <c r="A56" s="41"/>
      <c r="B56" s="42" t="s">
        <v>88</v>
      </c>
      <c r="C56" s="51" t="s">
        <v>64</v>
      </c>
      <c r="D56" s="42" t="s">
        <v>47</v>
      </c>
      <c r="F56" s="9"/>
      <c r="G56" s="9"/>
      <c r="H56" s="9"/>
      <c r="I56" s="9"/>
    </row>
    <row r="57" spans="1:42" ht="15" x14ac:dyDescent="0.25">
      <c r="A57" s="43" t="s">
        <v>112</v>
      </c>
      <c r="B57" s="42" t="s">
        <v>113</v>
      </c>
      <c r="C57" s="55">
        <v>0.04</v>
      </c>
      <c r="D57" s="42" t="s">
        <v>6</v>
      </c>
      <c r="F57" s="9"/>
      <c r="G57" s="9"/>
      <c r="H57" s="9"/>
      <c r="I57" s="9"/>
    </row>
    <row r="58" spans="1:42" ht="15" x14ac:dyDescent="0.25">
      <c r="A58" s="110" t="s">
        <v>163</v>
      </c>
      <c r="B58" s="21" t="s">
        <v>127</v>
      </c>
      <c r="C58" s="22" t="s">
        <v>128</v>
      </c>
      <c r="D58" s="21"/>
      <c r="F58" s="9"/>
      <c r="G58" s="9"/>
      <c r="H58" s="9"/>
      <c r="I58" s="9"/>
    </row>
    <row r="59" spans="1:42" ht="15" x14ac:dyDescent="0.25">
      <c r="A59" s="40" t="s">
        <v>164</v>
      </c>
      <c r="B59" s="21" t="s">
        <v>129</v>
      </c>
      <c r="C59" s="75">
        <v>319759</v>
      </c>
      <c r="D59" s="44" t="s">
        <v>58</v>
      </c>
      <c r="F59" s="9"/>
      <c r="G59" s="9"/>
      <c r="H59" s="9"/>
      <c r="I59" s="9"/>
    </row>
    <row r="60" spans="1:42" ht="15" x14ac:dyDescent="0.25">
      <c r="A60" s="40" t="s">
        <v>125</v>
      </c>
      <c r="B60" s="21" t="s">
        <v>130</v>
      </c>
      <c r="C60" s="75">
        <v>320844</v>
      </c>
      <c r="D60" s="44" t="s">
        <v>58</v>
      </c>
      <c r="F60" s="9"/>
      <c r="G60" s="9"/>
      <c r="H60" s="9"/>
      <c r="I60" s="9"/>
    </row>
    <row r="61" spans="1:42" ht="15" x14ac:dyDescent="0.25">
      <c r="A61" s="40"/>
      <c r="B61" s="45" t="s">
        <v>131</v>
      </c>
      <c r="C61" s="75">
        <v>401820</v>
      </c>
      <c r="D61" s="44" t="s">
        <v>58</v>
      </c>
      <c r="F61" s="9"/>
      <c r="G61" s="9"/>
      <c r="H61" s="9"/>
      <c r="I61" s="9"/>
      <c r="K61" s="5"/>
      <c r="N61" s="4"/>
      <c r="O61" s="5"/>
    </row>
    <row r="62" spans="1:42" ht="15" x14ac:dyDescent="0.25">
      <c r="A62" s="40"/>
      <c r="B62" s="45" t="s">
        <v>132</v>
      </c>
      <c r="C62" s="75">
        <v>425152</v>
      </c>
      <c r="D62" s="44" t="s">
        <v>58</v>
      </c>
      <c r="F62" s="9"/>
      <c r="G62" s="9"/>
      <c r="H62" s="9"/>
      <c r="I62" s="9"/>
      <c r="N62" s="4"/>
      <c r="O62" s="5"/>
    </row>
    <row r="63" spans="1:42" ht="15" x14ac:dyDescent="0.25">
      <c r="A63" s="40"/>
      <c r="B63" s="45" t="s">
        <v>133</v>
      </c>
      <c r="C63" s="75">
        <v>432287</v>
      </c>
      <c r="D63" s="44" t="s">
        <v>58</v>
      </c>
      <c r="F63" s="9"/>
      <c r="G63" s="9"/>
      <c r="H63" s="9"/>
      <c r="I63" s="9"/>
      <c r="K63" s="7"/>
      <c r="L63" s="8"/>
      <c r="N63" s="4"/>
      <c r="O63" s="5"/>
    </row>
    <row r="64" spans="1:42" ht="15" x14ac:dyDescent="0.25">
      <c r="A64" s="40"/>
      <c r="B64" s="45" t="s">
        <v>134</v>
      </c>
      <c r="C64" s="75">
        <v>437424</v>
      </c>
      <c r="D64" s="44" t="s">
        <v>58</v>
      </c>
      <c r="F64" s="9"/>
      <c r="G64" s="9"/>
      <c r="H64" s="9"/>
      <c r="I64" s="9"/>
      <c r="J64" s="9"/>
      <c r="K64" s="7"/>
      <c r="L64" s="8"/>
      <c r="N64" s="4"/>
      <c r="O64" s="5"/>
    </row>
    <row r="65" spans="1:15" ht="15" x14ac:dyDescent="0.25">
      <c r="A65" s="40"/>
      <c r="B65" s="45" t="s">
        <v>135</v>
      </c>
      <c r="C65" s="75">
        <v>458446</v>
      </c>
      <c r="D65" s="44" t="s">
        <v>58</v>
      </c>
      <c r="F65" s="9"/>
      <c r="G65" s="9"/>
      <c r="H65" s="9"/>
      <c r="I65" s="9"/>
      <c r="J65" s="9"/>
      <c r="K65" s="7"/>
      <c r="L65" s="8"/>
      <c r="N65" s="4"/>
      <c r="O65" s="5"/>
    </row>
    <row r="66" spans="1:15" ht="15" x14ac:dyDescent="0.25">
      <c r="A66" s="40"/>
      <c r="B66" s="45" t="s">
        <v>136</v>
      </c>
      <c r="C66" s="75">
        <v>440601</v>
      </c>
      <c r="D66" s="44" t="s">
        <v>58</v>
      </c>
      <c r="F66" s="9"/>
      <c r="G66" s="9"/>
      <c r="H66" s="9"/>
      <c r="I66" s="9"/>
      <c r="J66" s="9"/>
      <c r="K66" s="7"/>
      <c r="L66" s="8"/>
      <c r="N66" s="4"/>
      <c r="O66" s="5"/>
    </row>
    <row r="67" spans="1:15" ht="15" x14ac:dyDescent="0.25">
      <c r="A67" s="40"/>
      <c r="B67" s="45" t="s">
        <v>137</v>
      </c>
      <c r="C67" s="75">
        <v>389948</v>
      </c>
      <c r="D67" s="44" t="s">
        <v>58</v>
      </c>
      <c r="J67" s="9"/>
      <c r="K67" s="7"/>
      <c r="L67" s="8"/>
      <c r="N67" s="4"/>
      <c r="O67" s="5"/>
    </row>
    <row r="68" spans="1:15" ht="15" x14ac:dyDescent="0.25">
      <c r="A68" s="40"/>
      <c r="B68" s="45" t="s">
        <v>138</v>
      </c>
      <c r="C68" s="75">
        <v>395332</v>
      </c>
      <c r="D68" s="44" t="s">
        <v>58</v>
      </c>
      <c r="J68" s="9"/>
      <c r="K68" s="7"/>
      <c r="L68" s="8"/>
      <c r="N68" s="4"/>
      <c r="O68" s="5"/>
    </row>
    <row r="69" spans="1:15" ht="15" x14ac:dyDescent="0.25">
      <c r="A69" s="40"/>
      <c r="B69" s="45" t="s">
        <v>139</v>
      </c>
      <c r="C69" s="75">
        <v>312149</v>
      </c>
      <c r="D69" s="44" t="s">
        <v>58</v>
      </c>
      <c r="J69" s="9"/>
      <c r="K69" s="7"/>
      <c r="L69" s="8"/>
      <c r="N69" s="4"/>
      <c r="O69" s="5"/>
    </row>
    <row r="70" spans="1:15" ht="15" x14ac:dyDescent="0.25">
      <c r="A70" s="40"/>
      <c r="B70" s="45" t="s">
        <v>140</v>
      </c>
      <c r="C70" s="80">
        <v>302310</v>
      </c>
      <c r="D70" s="44" t="s">
        <v>58</v>
      </c>
      <c r="J70" s="9"/>
      <c r="K70" s="7"/>
      <c r="L70" s="8"/>
      <c r="N70" s="4"/>
      <c r="O70" s="5"/>
    </row>
    <row r="71" spans="1:15" ht="15" x14ac:dyDescent="0.25">
      <c r="A71" s="40"/>
      <c r="B71" s="45" t="s">
        <v>141</v>
      </c>
      <c r="C71" s="75">
        <v>4636072</v>
      </c>
      <c r="D71" s="44" t="s">
        <v>58</v>
      </c>
      <c r="J71" s="9"/>
      <c r="K71" s="7"/>
      <c r="L71" s="8"/>
      <c r="N71" s="4"/>
      <c r="O71" s="5"/>
    </row>
    <row r="72" spans="1:15" ht="15" x14ac:dyDescent="0.25">
      <c r="J72" s="9"/>
      <c r="K72" s="7"/>
      <c r="L72" s="8"/>
      <c r="M72" s="8"/>
    </row>
    <row r="73" spans="1:15" ht="15" x14ac:dyDescent="0.25">
      <c r="J73" s="9"/>
      <c r="K73" s="7"/>
      <c r="L73" s="8"/>
      <c r="M73" s="8"/>
    </row>
    <row r="74" spans="1:15" ht="15" x14ac:dyDescent="0.25">
      <c r="J74" s="9"/>
      <c r="K74" s="7"/>
      <c r="L74" s="8"/>
      <c r="M74" s="8"/>
    </row>
    <row r="75" spans="1:15" ht="15" x14ac:dyDescent="0.25">
      <c r="J75" s="9"/>
      <c r="K75" s="7"/>
      <c r="L75" s="8"/>
      <c r="M75" s="8"/>
    </row>
    <row r="76" spans="1:15" ht="15" x14ac:dyDescent="0.25">
      <c r="J76" s="9"/>
      <c r="K76" s="7"/>
      <c r="L76" s="8"/>
      <c r="M76" s="8"/>
    </row>
    <row r="77" spans="1:15" ht="15" x14ac:dyDescent="0.25">
      <c r="J77" s="9"/>
      <c r="K77" s="7"/>
      <c r="L77" s="8"/>
      <c r="M77" s="8"/>
    </row>
    <row r="78" spans="1:15" x14ac:dyDescent="0.2">
      <c r="K78" s="7"/>
      <c r="L78" s="8"/>
      <c r="M78" s="8"/>
    </row>
    <row r="79" spans="1:15" x14ac:dyDescent="0.2">
      <c r="K79" s="7"/>
      <c r="L79" s="8"/>
      <c r="M79" s="8"/>
    </row>
    <row r="80" spans="1:15" x14ac:dyDescent="0.2">
      <c r="K80" s="7"/>
      <c r="L80" s="8"/>
      <c r="M80" s="8"/>
    </row>
  </sheetData>
  <hyperlinks>
    <hyperlink ref="F40" r:id="rId1"/>
    <hyperlink ref="F34" r:id="rId2"/>
    <hyperlink ref="F26" r:id="rId3" display="(from NREL JEDI model) "/>
    <hyperlink ref="B43" r:id="rId4"/>
    <hyperlink ref="A58" r:id="rId5"/>
  </hyperlinks>
  <pageMargins left="0.7" right="0.7" top="0.75" bottom="0.75" header="0.3" footer="0.3"/>
  <pageSetup orientation="portrait" r:id="rId6"/>
  <drawing r:id="rId7"/>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9"/>
  <sheetViews>
    <sheetView zoomScaleNormal="100" workbookViewId="0">
      <selection activeCell="A24" sqref="A24"/>
    </sheetView>
  </sheetViews>
  <sheetFormatPr defaultColWidth="9.140625" defaultRowHeight="12.75" x14ac:dyDescent="0.2"/>
  <cols>
    <col min="1" max="1" width="14.42578125" style="2" customWidth="1"/>
    <col min="2" max="2" width="28" style="2" customWidth="1"/>
    <col min="3" max="3" width="11" style="2" bestFit="1" customWidth="1"/>
    <col min="4" max="4" width="17.42578125" style="2" bestFit="1" customWidth="1"/>
    <col min="5" max="5" width="7.28515625" style="2" customWidth="1"/>
    <col min="6" max="6" width="12.7109375" style="2" customWidth="1"/>
    <col min="7" max="7" width="18" style="2" customWidth="1"/>
    <col min="8" max="8" width="12.7109375" style="2" customWidth="1"/>
    <col min="9" max="9" width="29.42578125" style="2" customWidth="1"/>
    <col min="10" max="10" width="8.85546875" style="2" customWidth="1"/>
    <col min="11" max="11" width="22.5703125" style="2" customWidth="1"/>
    <col min="12" max="12" width="10.5703125" style="2" customWidth="1"/>
    <col min="13" max="42" width="11.5703125" style="2" customWidth="1"/>
    <col min="43" max="16384" width="9.140625" style="2"/>
  </cols>
  <sheetData>
    <row r="1" spans="1:42" ht="26.25" x14ac:dyDescent="0.4">
      <c r="A1" s="79" t="s">
        <v>186</v>
      </c>
      <c r="D1" s="3"/>
      <c r="E1" s="3"/>
      <c r="F1" s="3"/>
      <c r="G1" s="3"/>
      <c r="H1" s="3"/>
    </row>
    <row r="2" spans="1:42" ht="21" x14ac:dyDescent="0.35">
      <c r="A2" s="56" t="s">
        <v>211</v>
      </c>
      <c r="D2" s="3"/>
      <c r="E2" s="3"/>
      <c r="F2" s="3"/>
      <c r="G2" s="3"/>
      <c r="H2" s="3"/>
    </row>
    <row r="3" spans="1:42" ht="10.5" customHeight="1" x14ac:dyDescent="0.35">
      <c r="A3" s="17"/>
      <c r="D3" s="3"/>
      <c r="E3" s="3"/>
      <c r="F3" s="3"/>
      <c r="G3" s="3"/>
      <c r="H3" s="3"/>
    </row>
    <row r="4" spans="1:42" ht="21" x14ac:dyDescent="0.35">
      <c r="A4" s="57" t="s">
        <v>187</v>
      </c>
      <c r="B4" s="57"/>
      <c r="C4" s="57"/>
      <c r="D4" s="57"/>
      <c r="E4" s="12"/>
      <c r="F4" s="57" t="s">
        <v>188</v>
      </c>
      <c r="G4" s="57"/>
      <c r="H4" s="12"/>
      <c r="I4" s="11"/>
      <c r="J4" s="11"/>
      <c r="K4" s="57" t="s">
        <v>189</v>
      </c>
    </row>
    <row r="5" spans="1:42" ht="15.75" x14ac:dyDescent="0.25">
      <c r="A5" s="16" t="s">
        <v>104</v>
      </c>
      <c r="B5" s="16" t="s">
        <v>167</v>
      </c>
      <c r="C5" s="16" t="s">
        <v>1</v>
      </c>
      <c r="D5" s="16" t="s">
        <v>2</v>
      </c>
      <c r="E5" s="14"/>
      <c r="F5" s="13" t="s">
        <v>104</v>
      </c>
      <c r="G5" s="13" t="s">
        <v>167</v>
      </c>
      <c r="H5" s="13" t="s">
        <v>1</v>
      </c>
      <c r="I5" s="13" t="s">
        <v>2</v>
      </c>
      <c r="J5" s="15"/>
    </row>
    <row r="6" spans="1:42" ht="12.75" customHeight="1" x14ac:dyDescent="0.25">
      <c r="A6" s="39" t="s">
        <v>101</v>
      </c>
      <c r="B6" s="21" t="s">
        <v>76</v>
      </c>
      <c r="C6" s="27">
        <v>200</v>
      </c>
      <c r="D6" s="21" t="s">
        <v>0</v>
      </c>
      <c r="F6" s="18" t="s">
        <v>119</v>
      </c>
      <c r="G6" s="58"/>
      <c r="H6" s="58"/>
      <c r="I6" s="58"/>
      <c r="K6" s="81"/>
      <c r="L6" s="82"/>
      <c r="M6" s="83" t="s">
        <v>4</v>
      </c>
      <c r="N6" s="84" t="s">
        <v>5</v>
      </c>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ht="12.75" customHeight="1" x14ac:dyDescent="0.25">
      <c r="A7" s="40"/>
      <c r="B7" s="21" t="s">
        <v>78</v>
      </c>
      <c r="C7" s="28">
        <v>0</v>
      </c>
      <c r="D7" s="21" t="s">
        <v>59</v>
      </c>
      <c r="F7" s="59" t="s">
        <v>177</v>
      </c>
      <c r="G7" s="60"/>
      <c r="H7" s="60"/>
      <c r="I7" s="60"/>
      <c r="K7" s="85"/>
      <c r="L7" s="86">
        <v>0</v>
      </c>
      <c r="M7" s="87">
        <v>1</v>
      </c>
      <c r="N7" s="87">
        <v>2</v>
      </c>
      <c r="O7" s="87">
        <v>3</v>
      </c>
      <c r="P7" s="87">
        <v>4</v>
      </c>
      <c r="Q7" s="87">
        <v>5</v>
      </c>
      <c r="R7" s="87">
        <v>6</v>
      </c>
      <c r="S7" s="87">
        <v>7</v>
      </c>
      <c r="T7" s="87">
        <v>8</v>
      </c>
      <c r="U7" s="87">
        <v>9</v>
      </c>
      <c r="V7" s="87">
        <v>10</v>
      </c>
      <c r="W7" s="87">
        <v>11</v>
      </c>
      <c r="X7" s="87">
        <v>12</v>
      </c>
      <c r="Y7" s="87">
        <v>13</v>
      </c>
      <c r="Z7" s="87">
        <v>14</v>
      </c>
      <c r="AA7" s="87">
        <v>15</v>
      </c>
      <c r="AB7" s="87">
        <v>16</v>
      </c>
      <c r="AC7" s="87">
        <v>17</v>
      </c>
      <c r="AD7" s="87">
        <v>18</v>
      </c>
      <c r="AE7" s="87">
        <v>19</v>
      </c>
      <c r="AF7" s="87">
        <v>20</v>
      </c>
      <c r="AG7" s="87">
        <v>21</v>
      </c>
      <c r="AH7" s="87">
        <v>22</v>
      </c>
      <c r="AI7" s="87">
        <v>23</v>
      </c>
      <c r="AJ7" s="87">
        <v>24</v>
      </c>
      <c r="AK7" s="87">
        <v>25</v>
      </c>
      <c r="AL7" s="87">
        <v>26</v>
      </c>
      <c r="AM7" s="87">
        <v>27</v>
      </c>
      <c r="AN7" s="87">
        <v>28</v>
      </c>
      <c r="AO7" s="87">
        <v>29</v>
      </c>
      <c r="AP7" s="87">
        <v>30</v>
      </c>
    </row>
    <row r="8" spans="1:42" ht="12.75" customHeight="1" x14ac:dyDescent="0.2">
      <c r="A8" s="41"/>
      <c r="B8" s="42" t="s">
        <v>78</v>
      </c>
      <c r="C8" s="48">
        <v>0</v>
      </c>
      <c r="D8" s="42" t="s">
        <v>58</v>
      </c>
      <c r="F8" s="61" t="s">
        <v>168</v>
      </c>
      <c r="G8" s="18" t="s">
        <v>55</v>
      </c>
      <c r="H8" s="62">
        <f>IFERROR(IRR(L47:AF47), "NA")</f>
        <v>0.11170325383852231</v>
      </c>
      <c r="I8" s="18" t="s">
        <v>6</v>
      </c>
      <c r="K8" s="24" t="s">
        <v>92</v>
      </c>
      <c r="L8" s="24"/>
      <c r="M8" s="23">
        <f t="shared" ref="M8:AP8" si="0">$C21*(1-$C$22)^L$7</f>
        <v>299993</v>
      </c>
      <c r="N8" s="23">
        <f t="shared" si="0"/>
        <v>298493.03499999997</v>
      </c>
      <c r="O8" s="23">
        <f t="shared" si="0"/>
        <v>297000.56982500001</v>
      </c>
      <c r="P8" s="23">
        <f t="shared" si="0"/>
        <v>295515.566975875</v>
      </c>
      <c r="Q8" s="23">
        <f t="shared" si="0"/>
        <v>294037.98914099566</v>
      </c>
      <c r="R8" s="23">
        <f t="shared" si="0"/>
        <v>292567.79919529066</v>
      </c>
      <c r="S8" s="23">
        <f t="shared" si="0"/>
        <v>291104.96019931423</v>
      </c>
      <c r="T8" s="23">
        <f t="shared" si="0"/>
        <v>289649.43539831764</v>
      </c>
      <c r="U8" s="23">
        <f t="shared" si="0"/>
        <v>288201.18822132604</v>
      </c>
      <c r="V8" s="23">
        <f t="shared" si="0"/>
        <v>286760.18228021939</v>
      </c>
      <c r="W8" s="23">
        <f t="shared" si="0"/>
        <v>285326.38136881834</v>
      </c>
      <c r="X8" s="23">
        <f t="shared" si="0"/>
        <v>283899.74946197425</v>
      </c>
      <c r="Y8" s="23">
        <f t="shared" si="0"/>
        <v>282480.25071466441</v>
      </c>
      <c r="Z8" s="23">
        <f t="shared" si="0"/>
        <v>281067.8494610911</v>
      </c>
      <c r="AA8" s="23">
        <f t="shared" si="0"/>
        <v>279662.51021378563</v>
      </c>
      <c r="AB8" s="23">
        <f t="shared" si="0"/>
        <v>278264.19766271667</v>
      </c>
      <c r="AC8" s="23">
        <f t="shared" si="0"/>
        <v>276872.87667440309</v>
      </c>
      <c r="AD8" s="23">
        <f t="shared" si="0"/>
        <v>275488.51229103107</v>
      </c>
      <c r="AE8" s="23">
        <f t="shared" si="0"/>
        <v>274111.06972957595</v>
      </c>
      <c r="AF8" s="23">
        <f t="shared" si="0"/>
        <v>272740.51438092801</v>
      </c>
      <c r="AG8" s="23">
        <f t="shared" si="0"/>
        <v>271376.81180902343</v>
      </c>
      <c r="AH8" s="23">
        <f t="shared" si="0"/>
        <v>270019.92774997832</v>
      </c>
      <c r="AI8" s="23">
        <f t="shared" si="0"/>
        <v>268669.82811122842</v>
      </c>
      <c r="AJ8" s="23">
        <f t="shared" si="0"/>
        <v>267326.47897067224</v>
      </c>
      <c r="AK8" s="23">
        <f t="shared" si="0"/>
        <v>265989.8465758189</v>
      </c>
      <c r="AL8" s="23">
        <f t="shared" si="0"/>
        <v>264659.8973429398</v>
      </c>
      <c r="AM8" s="23">
        <f t="shared" si="0"/>
        <v>263336.59785622515</v>
      </c>
      <c r="AN8" s="23">
        <f t="shared" si="0"/>
        <v>262019.91486694396</v>
      </c>
      <c r="AO8" s="23">
        <f t="shared" si="0"/>
        <v>260709.8152926093</v>
      </c>
      <c r="AP8" s="23">
        <f t="shared" si="0"/>
        <v>259406.26621614626</v>
      </c>
    </row>
    <row r="9" spans="1:42" x14ac:dyDescent="0.2">
      <c r="A9" s="40" t="s">
        <v>102</v>
      </c>
      <c r="B9" s="21" t="s">
        <v>80</v>
      </c>
      <c r="C9" s="29">
        <f>2.75*C6*1000</f>
        <v>550000</v>
      </c>
      <c r="D9" s="21" t="s">
        <v>3</v>
      </c>
      <c r="F9" s="61" t="s">
        <v>169</v>
      </c>
      <c r="G9" s="18" t="s">
        <v>40</v>
      </c>
      <c r="H9" s="20">
        <f>IF(MIN(K50:AD50)&gt;19, "20+",MIN(K50:AD50))</f>
        <v>8</v>
      </c>
      <c r="I9" s="18" t="s">
        <v>70</v>
      </c>
      <c r="K9" s="24" t="s">
        <v>25</v>
      </c>
      <c r="L9" s="24"/>
      <c r="M9" s="23">
        <f t="shared" ref="M9:AP9" si="1">M8*(1-$C23)</f>
        <v>269993.7</v>
      </c>
      <c r="N9" s="23">
        <f t="shared" si="1"/>
        <v>268643.73149999999</v>
      </c>
      <c r="O9" s="23">
        <f t="shared" si="1"/>
        <v>267300.5128425</v>
      </c>
      <c r="P9" s="23">
        <f t="shared" si="1"/>
        <v>265964.01027828752</v>
      </c>
      <c r="Q9" s="23">
        <f t="shared" si="1"/>
        <v>264634.19022689608</v>
      </c>
      <c r="R9" s="23">
        <f t="shared" si="1"/>
        <v>263311.01927576162</v>
      </c>
      <c r="S9" s="23">
        <f t="shared" si="1"/>
        <v>261994.46417938281</v>
      </c>
      <c r="T9" s="23">
        <f t="shared" si="1"/>
        <v>260684.49185848588</v>
      </c>
      <c r="U9" s="23">
        <f t="shared" si="1"/>
        <v>259381.06939919345</v>
      </c>
      <c r="V9" s="23">
        <f t="shared" si="1"/>
        <v>258084.16405219745</v>
      </c>
      <c r="W9" s="23">
        <f t="shared" si="1"/>
        <v>256793.7432319365</v>
      </c>
      <c r="X9" s="23">
        <f t="shared" si="1"/>
        <v>255509.77451577684</v>
      </c>
      <c r="Y9" s="23">
        <f t="shared" si="1"/>
        <v>254232.22564319798</v>
      </c>
      <c r="Z9" s="23">
        <f t="shared" si="1"/>
        <v>252961.06451498199</v>
      </c>
      <c r="AA9" s="23">
        <f t="shared" si="1"/>
        <v>251696.25919240707</v>
      </c>
      <c r="AB9" s="23">
        <f t="shared" si="1"/>
        <v>250437.77789644501</v>
      </c>
      <c r="AC9" s="23">
        <f t="shared" si="1"/>
        <v>249185.58900696278</v>
      </c>
      <c r="AD9" s="23">
        <f t="shared" si="1"/>
        <v>247939.66106192797</v>
      </c>
      <c r="AE9" s="23">
        <f t="shared" si="1"/>
        <v>246699.96275661836</v>
      </c>
      <c r="AF9" s="23">
        <f t="shared" si="1"/>
        <v>245466.46294283521</v>
      </c>
      <c r="AG9" s="23">
        <f t="shared" si="1"/>
        <v>244239.13062812109</v>
      </c>
      <c r="AH9" s="23">
        <f t="shared" si="1"/>
        <v>243017.93497498048</v>
      </c>
      <c r="AI9" s="23">
        <f t="shared" si="1"/>
        <v>241802.84530010558</v>
      </c>
      <c r="AJ9" s="23">
        <f t="shared" si="1"/>
        <v>240593.83107360502</v>
      </c>
      <c r="AK9" s="23">
        <f t="shared" si="1"/>
        <v>239390.861918237</v>
      </c>
      <c r="AL9" s="23">
        <f t="shared" si="1"/>
        <v>238193.90760864582</v>
      </c>
      <c r="AM9" s="23">
        <f t="shared" si="1"/>
        <v>237002.93807060266</v>
      </c>
      <c r="AN9" s="23">
        <f t="shared" si="1"/>
        <v>235817.92338024956</v>
      </c>
      <c r="AO9" s="23">
        <f t="shared" si="1"/>
        <v>234638.83376334838</v>
      </c>
      <c r="AP9" s="23">
        <f t="shared" si="1"/>
        <v>233465.63959453165</v>
      </c>
    </row>
    <row r="10" spans="1:42" x14ac:dyDescent="0.2">
      <c r="A10" s="41"/>
      <c r="B10" s="42" t="s">
        <v>81</v>
      </c>
      <c r="C10" s="49">
        <f>C8/6.4*6500</f>
        <v>0</v>
      </c>
      <c r="D10" s="42" t="s">
        <v>3</v>
      </c>
      <c r="F10" s="61" t="s">
        <v>176</v>
      </c>
      <c r="G10" s="18" t="s">
        <v>57</v>
      </c>
      <c r="H10" s="19">
        <f>NPV(C53,L47:AG47)</f>
        <v>307384.99930676649</v>
      </c>
      <c r="I10" s="18" t="s">
        <v>3</v>
      </c>
      <c r="J10" s="5"/>
      <c r="K10" s="24" t="s">
        <v>26</v>
      </c>
      <c r="L10" s="24"/>
      <c r="M10" s="23">
        <f t="shared" ref="M10:AP10" si="2">M8*$C23</f>
        <v>29999.300000000003</v>
      </c>
      <c r="N10" s="23">
        <f t="shared" si="2"/>
        <v>29849.303499999998</v>
      </c>
      <c r="O10" s="23">
        <f t="shared" si="2"/>
        <v>29700.056982500002</v>
      </c>
      <c r="P10" s="23">
        <f t="shared" si="2"/>
        <v>29551.556697587501</v>
      </c>
      <c r="Q10" s="23">
        <f t="shared" si="2"/>
        <v>29403.798914099567</v>
      </c>
      <c r="R10" s="23">
        <f t="shared" si="2"/>
        <v>29256.779919529068</v>
      </c>
      <c r="S10" s="23">
        <f t="shared" si="2"/>
        <v>29110.496019931423</v>
      </c>
      <c r="T10" s="23">
        <f t="shared" si="2"/>
        <v>28964.943539831766</v>
      </c>
      <c r="U10" s="23">
        <f t="shared" si="2"/>
        <v>28820.118822132605</v>
      </c>
      <c r="V10" s="23">
        <f t="shared" si="2"/>
        <v>28676.018228021941</v>
      </c>
      <c r="W10" s="23">
        <f t="shared" si="2"/>
        <v>28532.638136881837</v>
      </c>
      <c r="X10" s="23">
        <f t="shared" si="2"/>
        <v>28389.974946197428</v>
      </c>
      <c r="Y10" s="23">
        <f t="shared" si="2"/>
        <v>28248.025071466443</v>
      </c>
      <c r="Z10" s="23">
        <f t="shared" si="2"/>
        <v>28106.78494610911</v>
      </c>
      <c r="AA10" s="23">
        <f t="shared" si="2"/>
        <v>27966.251021378564</v>
      </c>
      <c r="AB10" s="23">
        <f t="shared" si="2"/>
        <v>27826.419766271669</v>
      </c>
      <c r="AC10" s="23">
        <f t="shared" si="2"/>
        <v>27687.287667440309</v>
      </c>
      <c r="AD10" s="23">
        <f t="shared" si="2"/>
        <v>27548.851229103107</v>
      </c>
      <c r="AE10" s="23">
        <f t="shared" si="2"/>
        <v>27411.106972957597</v>
      </c>
      <c r="AF10" s="23">
        <f t="shared" si="2"/>
        <v>27274.051438092803</v>
      </c>
      <c r="AG10" s="23">
        <f t="shared" si="2"/>
        <v>27137.681180902346</v>
      </c>
      <c r="AH10" s="23">
        <f t="shared" si="2"/>
        <v>27001.992774997834</v>
      </c>
      <c r="AI10" s="23">
        <f t="shared" si="2"/>
        <v>26866.982811122842</v>
      </c>
      <c r="AJ10" s="23">
        <f t="shared" si="2"/>
        <v>26732.647897067225</v>
      </c>
      <c r="AK10" s="23">
        <f t="shared" si="2"/>
        <v>26598.984657581892</v>
      </c>
      <c r="AL10" s="23">
        <f t="shared" si="2"/>
        <v>26465.98973429398</v>
      </c>
      <c r="AM10" s="23">
        <f t="shared" si="2"/>
        <v>26333.659785622516</v>
      </c>
      <c r="AN10" s="23">
        <f t="shared" si="2"/>
        <v>26201.991486694398</v>
      </c>
      <c r="AO10" s="23">
        <f t="shared" si="2"/>
        <v>26070.981529260931</v>
      </c>
      <c r="AP10" s="23">
        <f t="shared" si="2"/>
        <v>25940.626621614629</v>
      </c>
    </row>
    <row r="11" spans="1:42" x14ac:dyDescent="0.2">
      <c r="A11" s="21" t="s">
        <v>160</v>
      </c>
      <c r="B11" s="21" t="s">
        <v>77</v>
      </c>
      <c r="C11" s="29">
        <f>0.75*C6*1000</f>
        <v>150000</v>
      </c>
      <c r="D11" s="21" t="s">
        <v>3</v>
      </c>
      <c r="F11" s="59"/>
      <c r="G11" s="59" t="s">
        <v>118</v>
      </c>
      <c r="H11" s="63">
        <f>IF(-L47&lt;0.0001,"Very High", NPV($C53, M47:AP47)/-L47)</f>
        <v>2.2477411786460424</v>
      </c>
      <c r="I11" s="59"/>
      <c r="K11" s="24"/>
      <c r="L11" s="24"/>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row>
    <row r="12" spans="1:42" x14ac:dyDescent="0.2">
      <c r="A12" s="40" t="s">
        <v>159</v>
      </c>
      <c r="B12" s="21" t="s">
        <v>9</v>
      </c>
      <c r="C12" s="29">
        <v>0</v>
      </c>
      <c r="D12" s="21" t="s">
        <v>3</v>
      </c>
      <c r="F12" s="18" t="s">
        <v>170</v>
      </c>
      <c r="G12" s="18"/>
      <c r="H12" s="18"/>
      <c r="I12" s="18"/>
      <c r="K12" s="24" t="s">
        <v>13</v>
      </c>
      <c r="L12" s="25">
        <f>-SUM(C9:C10)</f>
        <v>-550000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ht="12.75" customHeight="1" x14ac:dyDescent="0.2">
      <c r="A13" s="40"/>
      <c r="B13" s="21" t="s">
        <v>198</v>
      </c>
      <c r="C13" s="30">
        <v>0.3</v>
      </c>
      <c r="D13" s="21" t="s">
        <v>6</v>
      </c>
      <c r="F13" s="18"/>
      <c r="G13" s="18"/>
      <c r="H13" s="18"/>
      <c r="I13" s="18"/>
      <c r="K13" s="24" t="s">
        <v>75</v>
      </c>
      <c r="L13" s="25">
        <f>C11</f>
        <v>150000</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x14ac:dyDescent="0.2">
      <c r="A14" s="41"/>
      <c r="B14" s="42" t="s">
        <v>197</v>
      </c>
      <c r="C14" s="50" t="s">
        <v>64</v>
      </c>
      <c r="D14" s="42" t="s">
        <v>103</v>
      </c>
      <c r="F14" s="18"/>
      <c r="G14" s="18"/>
      <c r="H14" s="18"/>
      <c r="I14" s="18"/>
      <c r="K14" s="24" t="s">
        <v>10</v>
      </c>
      <c r="L14" s="25">
        <f>C12</f>
        <v>0</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x14ac:dyDescent="0.2">
      <c r="A15" s="40" t="s">
        <v>42</v>
      </c>
      <c r="B15" s="21" t="s">
        <v>42</v>
      </c>
      <c r="C15" s="31" t="s">
        <v>64</v>
      </c>
      <c r="D15" s="21" t="s">
        <v>47</v>
      </c>
      <c r="F15" s="18"/>
      <c r="G15" s="18"/>
      <c r="H15" s="18"/>
      <c r="I15" s="18"/>
      <c r="K15" s="24" t="s">
        <v>11</v>
      </c>
      <c r="L15" s="47">
        <f>IF(C14="No",0,C13*(C9-C11))</f>
        <v>0</v>
      </c>
      <c r="M15" s="47">
        <f>C13</f>
        <v>0.3</v>
      </c>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row>
    <row r="16" spans="1:42" x14ac:dyDescent="0.2">
      <c r="A16" s="40"/>
      <c r="B16" s="21" t="s">
        <v>43</v>
      </c>
      <c r="C16" s="32">
        <v>1</v>
      </c>
      <c r="D16" s="21" t="s">
        <v>6</v>
      </c>
      <c r="F16" s="18"/>
      <c r="G16" s="18"/>
      <c r="H16" s="18"/>
      <c r="I16" s="18"/>
      <c r="K16" s="26" t="s">
        <v>28</v>
      </c>
      <c r="L16" s="25">
        <f t="shared" ref="L16:AP16" si="3">SUM(L12:L15)</f>
        <v>-400000</v>
      </c>
      <c r="M16" s="25">
        <f t="shared" si="3"/>
        <v>0.3</v>
      </c>
      <c r="N16" s="25">
        <f t="shared" si="3"/>
        <v>0</v>
      </c>
      <c r="O16" s="25">
        <f t="shared" si="3"/>
        <v>0</v>
      </c>
      <c r="P16" s="25">
        <f t="shared" si="3"/>
        <v>0</v>
      </c>
      <c r="Q16" s="25">
        <f t="shared" si="3"/>
        <v>0</v>
      </c>
      <c r="R16" s="25">
        <f t="shared" si="3"/>
        <v>0</v>
      </c>
      <c r="S16" s="25">
        <f t="shared" si="3"/>
        <v>0</v>
      </c>
      <c r="T16" s="25">
        <f t="shared" si="3"/>
        <v>0</v>
      </c>
      <c r="U16" s="25">
        <f t="shared" si="3"/>
        <v>0</v>
      </c>
      <c r="V16" s="25">
        <f t="shared" si="3"/>
        <v>0</v>
      </c>
      <c r="W16" s="25">
        <f t="shared" si="3"/>
        <v>0</v>
      </c>
      <c r="X16" s="25">
        <f t="shared" si="3"/>
        <v>0</v>
      </c>
      <c r="Y16" s="25">
        <f t="shared" si="3"/>
        <v>0</v>
      </c>
      <c r="Z16" s="25">
        <f t="shared" si="3"/>
        <v>0</v>
      </c>
      <c r="AA16" s="25">
        <f t="shared" si="3"/>
        <v>0</v>
      </c>
      <c r="AB16" s="25">
        <f t="shared" si="3"/>
        <v>0</v>
      </c>
      <c r="AC16" s="25">
        <f t="shared" si="3"/>
        <v>0</v>
      </c>
      <c r="AD16" s="25">
        <f t="shared" si="3"/>
        <v>0</v>
      </c>
      <c r="AE16" s="25">
        <f t="shared" si="3"/>
        <v>0</v>
      </c>
      <c r="AF16" s="25">
        <f t="shared" si="3"/>
        <v>0</v>
      </c>
      <c r="AG16" s="25">
        <f t="shared" si="3"/>
        <v>0</v>
      </c>
      <c r="AH16" s="25">
        <f t="shared" si="3"/>
        <v>0</v>
      </c>
      <c r="AI16" s="25">
        <f t="shared" si="3"/>
        <v>0</v>
      </c>
      <c r="AJ16" s="25">
        <f t="shared" si="3"/>
        <v>0</v>
      </c>
      <c r="AK16" s="25">
        <f t="shared" si="3"/>
        <v>0</v>
      </c>
      <c r="AL16" s="25">
        <f t="shared" si="3"/>
        <v>0</v>
      </c>
      <c r="AM16" s="25">
        <f t="shared" si="3"/>
        <v>0</v>
      </c>
      <c r="AN16" s="25">
        <f t="shared" si="3"/>
        <v>0</v>
      </c>
      <c r="AO16" s="25">
        <f t="shared" si="3"/>
        <v>0</v>
      </c>
      <c r="AP16" s="25">
        <f t="shared" si="3"/>
        <v>0</v>
      </c>
    </row>
    <row r="17" spans="1:42" x14ac:dyDescent="0.2">
      <c r="A17" s="40"/>
      <c r="B17" s="21" t="s">
        <v>44</v>
      </c>
      <c r="C17" s="28">
        <v>20</v>
      </c>
      <c r="D17" s="21" t="s">
        <v>22</v>
      </c>
      <c r="F17" s="18"/>
      <c r="G17" s="18"/>
      <c r="H17" s="18"/>
      <c r="I17" s="18"/>
      <c r="K17" s="26"/>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x14ac:dyDescent="0.2">
      <c r="A18" s="40"/>
      <c r="B18" s="21" t="s">
        <v>45</v>
      </c>
      <c r="C18" s="33">
        <v>0.04</v>
      </c>
      <c r="D18" s="21" t="s">
        <v>6</v>
      </c>
      <c r="F18" s="18"/>
      <c r="G18" s="18"/>
      <c r="H18" s="18"/>
      <c r="I18" s="18"/>
      <c r="K18" s="89" t="s">
        <v>66</v>
      </c>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x14ac:dyDescent="0.2">
      <c r="A19" s="40"/>
      <c r="B19" s="21" t="s">
        <v>60</v>
      </c>
      <c r="C19" s="32">
        <v>0.05</v>
      </c>
      <c r="D19" s="21" t="s">
        <v>6</v>
      </c>
      <c r="F19" s="18"/>
      <c r="G19" s="18"/>
      <c r="H19" s="18"/>
      <c r="I19" s="18"/>
      <c r="K19" s="26" t="s">
        <v>61</v>
      </c>
      <c r="L19" s="25">
        <f>IF(C15="No",0,C19*L16*C16)</f>
        <v>0</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x14ac:dyDescent="0.2">
      <c r="A20" s="41"/>
      <c r="B20" s="42" t="s">
        <v>63</v>
      </c>
      <c r="C20" s="51" t="s">
        <v>56</v>
      </c>
      <c r="D20" s="42" t="s">
        <v>47</v>
      </c>
      <c r="F20" s="18"/>
      <c r="G20" s="18"/>
      <c r="H20" s="18"/>
      <c r="I20" s="18"/>
      <c r="K20" s="26" t="s">
        <v>48</v>
      </c>
      <c r="L20" s="47">
        <f>IF(C15="Yes", IF(C20="Yes", -L16*C16+(-C19*L16*C16), -L16*C16), 0)</f>
        <v>0</v>
      </c>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row>
    <row r="21" spans="1:42" x14ac:dyDescent="0.2">
      <c r="A21" s="40" t="s">
        <v>105</v>
      </c>
      <c r="B21" s="21" t="s">
        <v>94</v>
      </c>
      <c r="C21" s="27">
        <f>C67</f>
        <v>299993</v>
      </c>
      <c r="D21" s="21" t="s">
        <v>115</v>
      </c>
      <c r="F21" s="18"/>
      <c r="G21" s="18"/>
      <c r="H21" s="18"/>
      <c r="I21" s="18"/>
      <c r="K21" s="26" t="s">
        <v>49</v>
      </c>
      <c r="L21" s="25">
        <f>SUM(L16:L20)</f>
        <v>-400000</v>
      </c>
      <c r="M21" s="25">
        <f t="shared" ref="M21:AP21" si="4">SUM(M16:M20)</f>
        <v>0.3</v>
      </c>
      <c r="N21" s="25">
        <f t="shared" si="4"/>
        <v>0</v>
      </c>
      <c r="O21" s="25">
        <f t="shared" si="4"/>
        <v>0</v>
      </c>
      <c r="P21" s="25">
        <f t="shared" si="4"/>
        <v>0</v>
      </c>
      <c r="Q21" s="25">
        <f t="shared" si="4"/>
        <v>0</v>
      </c>
      <c r="R21" s="25">
        <f t="shared" si="4"/>
        <v>0</v>
      </c>
      <c r="S21" s="25">
        <f t="shared" si="4"/>
        <v>0</v>
      </c>
      <c r="T21" s="25">
        <f t="shared" si="4"/>
        <v>0</v>
      </c>
      <c r="U21" s="25">
        <f t="shared" si="4"/>
        <v>0</v>
      </c>
      <c r="V21" s="25">
        <f t="shared" si="4"/>
        <v>0</v>
      </c>
      <c r="W21" s="25">
        <f t="shared" si="4"/>
        <v>0</v>
      </c>
      <c r="X21" s="25">
        <f t="shared" si="4"/>
        <v>0</v>
      </c>
      <c r="Y21" s="25">
        <f t="shared" si="4"/>
        <v>0</v>
      </c>
      <c r="Z21" s="25">
        <f t="shared" si="4"/>
        <v>0</v>
      </c>
      <c r="AA21" s="25">
        <f t="shared" si="4"/>
        <v>0</v>
      </c>
      <c r="AB21" s="25">
        <f t="shared" si="4"/>
        <v>0</v>
      </c>
      <c r="AC21" s="25">
        <f t="shared" si="4"/>
        <v>0</v>
      </c>
      <c r="AD21" s="25">
        <f t="shared" si="4"/>
        <v>0</v>
      </c>
      <c r="AE21" s="25">
        <f t="shared" si="4"/>
        <v>0</v>
      </c>
      <c r="AF21" s="25">
        <f t="shared" si="4"/>
        <v>0</v>
      </c>
      <c r="AG21" s="25">
        <f t="shared" si="4"/>
        <v>0</v>
      </c>
      <c r="AH21" s="25">
        <f t="shared" si="4"/>
        <v>0</v>
      </c>
      <c r="AI21" s="25">
        <f t="shared" si="4"/>
        <v>0</v>
      </c>
      <c r="AJ21" s="25">
        <f t="shared" si="4"/>
        <v>0</v>
      </c>
      <c r="AK21" s="25">
        <f t="shared" si="4"/>
        <v>0</v>
      </c>
      <c r="AL21" s="25">
        <f t="shared" si="4"/>
        <v>0</v>
      </c>
      <c r="AM21" s="25">
        <f t="shared" si="4"/>
        <v>0</v>
      </c>
      <c r="AN21" s="25">
        <f t="shared" si="4"/>
        <v>0</v>
      </c>
      <c r="AO21" s="25">
        <f t="shared" si="4"/>
        <v>0</v>
      </c>
      <c r="AP21" s="25">
        <f t="shared" si="4"/>
        <v>0</v>
      </c>
    </row>
    <row r="22" spans="1:42" x14ac:dyDescent="0.2">
      <c r="A22" s="40"/>
      <c r="B22" s="21" t="s">
        <v>95</v>
      </c>
      <c r="C22" s="33">
        <v>5.0000000000000001E-3</v>
      </c>
      <c r="D22" s="21" t="s">
        <v>6</v>
      </c>
      <c r="F22" s="18"/>
      <c r="G22" s="18"/>
      <c r="H22" s="18"/>
      <c r="I22" s="18"/>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x14ac:dyDescent="0.2">
      <c r="A23" s="40"/>
      <c r="B23" s="21" t="s">
        <v>96</v>
      </c>
      <c r="C23" s="32">
        <v>0.1</v>
      </c>
      <c r="D23" s="21" t="s">
        <v>6</v>
      </c>
      <c r="F23" s="18"/>
      <c r="G23" s="18"/>
      <c r="H23" s="18"/>
      <c r="I23" s="18"/>
      <c r="K23" s="24" t="s">
        <v>67</v>
      </c>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x14ac:dyDescent="0.2">
      <c r="A24" s="41"/>
      <c r="B24" s="42" t="s">
        <v>106</v>
      </c>
      <c r="C24" s="52">
        <f>0.25*46%</f>
        <v>0.115</v>
      </c>
      <c r="D24" s="42" t="s">
        <v>6</v>
      </c>
      <c r="F24" s="59"/>
      <c r="G24" s="59"/>
      <c r="H24" s="59"/>
      <c r="I24" s="59"/>
      <c r="K24" s="24" t="s">
        <v>86</v>
      </c>
      <c r="L24" s="24"/>
      <c r="M24" s="25">
        <f t="shared" ref="M24:AP24" si="5">M9*$C25*((1+$C30)^L7)+M10*$C26*((1+$C30)^L7)</f>
        <v>23999.440000000002</v>
      </c>
      <c r="N24" s="25">
        <f t="shared" si="5"/>
        <v>24237.634441999999</v>
      </c>
      <c r="O24" s="25">
        <f t="shared" si="5"/>
        <v>24478.192963836842</v>
      </c>
      <c r="P24" s="25">
        <f t="shared" si="5"/>
        <v>24721.139029002923</v>
      </c>
      <c r="Q24" s="25">
        <f t="shared" si="5"/>
        <v>24966.496333865773</v>
      </c>
      <c r="R24" s="25">
        <f t="shared" si="5"/>
        <v>25214.288809979385</v>
      </c>
      <c r="S24" s="25">
        <f t="shared" si="5"/>
        <v>25464.540626418428</v>
      </c>
      <c r="T24" s="25">
        <f t="shared" si="5"/>
        <v>25717.276192135629</v>
      </c>
      <c r="U24" s="25">
        <f t="shared" si="5"/>
        <v>25972.52015834257</v>
      </c>
      <c r="V24" s="25">
        <f t="shared" si="5"/>
        <v>26230.297420914114</v>
      </c>
      <c r="W24" s="25">
        <f t="shared" si="5"/>
        <v>26490.633122816689</v>
      </c>
      <c r="X24" s="25">
        <f t="shared" si="5"/>
        <v>26753.552656560641</v>
      </c>
      <c r="Y24" s="25">
        <f t="shared" si="5"/>
        <v>27019.081666677004</v>
      </c>
      <c r="Z24" s="25">
        <f t="shared" si="5"/>
        <v>27287.246052218772</v>
      </c>
      <c r="AA24" s="25">
        <f t="shared" si="5"/>
        <v>27558.071969287037</v>
      </c>
      <c r="AB24" s="25">
        <f t="shared" si="5"/>
        <v>27831.585833582201</v>
      </c>
      <c r="AC24" s="25">
        <f t="shared" si="5"/>
        <v>28107.814322980503</v>
      </c>
      <c r="AD24" s="25">
        <f t="shared" si="5"/>
        <v>28386.78438013608</v>
      </c>
      <c r="AE24" s="25">
        <f t="shared" si="5"/>
        <v>28668.523215108933</v>
      </c>
      <c r="AF24" s="25">
        <f t="shared" si="5"/>
        <v>28953.058308018881</v>
      </c>
      <c r="AG24" s="25">
        <f t="shared" si="5"/>
        <v>29240.417411725961</v>
      </c>
      <c r="AH24" s="25">
        <f t="shared" si="5"/>
        <v>29530.628554537343</v>
      </c>
      <c r="AI24" s="25">
        <f t="shared" si="5"/>
        <v>29823.72004294112</v>
      </c>
      <c r="AJ24" s="25">
        <f t="shared" si="5"/>
        <v>30119.720464367307</v>
      </c>
      <c r="AK24" s="25">
        <f t="shared" si="5"/>
        <v>30418.658689976142</v>
      </c>
      <c r="AL24" s="25">
        <f t="shared" si="5"/>
        <v>30720.56387747416</v>
      </c>
      <c r="AM24" s="25">
        <f t="shared" si="5"/>
        <v>31025.465473958091</v>
      </c>
      <c r="AN24" s="25">
        <f t="shared" si="5"/>
        <v>31333.393218787111</v>
      </c>
      <c r="AO24" s="25">
        <f t="shared" si="5"/>
        <v>31644.377146483574</v>
      </c>
      <c r="AP24" s="25">
        <f t="shared" si="5"/>
        <v>31958.447589662424</v>
      </c>
    </row>
    <row r="25" spans="1:42" x14ac:dyDescent="0.2">
      <c r="A25" s="40" t="s">
        <v>165</v>
      </c>
      <c r="B25" s="21" t="s">
        <v>27</v>
      </c>
      <c r="C25" s="34">
        <v>0.08</v>
      </c>
      <c r="D25" s="21" t="s">
        <v>8</v>
      </c>
      <c r="F25" s="18" t="s">
        <v>200</v>
      </c>
      <c r="G25" s="64"/>
      <c r="H25" s="18"/>
      <c r="I25" s="18"/>
      <c r="K25" s="24" t="s">
        <v>91</v>
      </c>
      <c r="L25" s="24"/>
      <c r="M25" s="25">
        <f t="shared" ref="M25:AP25" si="6">IF($C27="No", 0, ($C6*$C24*$C28*12)*(1+$C30)^(L7))</f>
        <v>1380</v>
      </c>
      <c r="N25" s="25">
        <f t="shared" si="6"/>
        <v>1400.6999999999998</v>
      </c>
      <c r="O25" s="25">
        <f t="shared" si="6"/>
        <v>1421.7104999999997</v>
      </c>
      <c r="P25" s="25">
        <f t="shared" si="6"/>
        <v>1443.0361574999995</v>
      </c>
      <c r="Q25" s="25">
        <f t="shared" si="6"/>
        <v>1464.6816998624993</v>
      </c>
      <c r="R25" s="25">
        <f t="shared" si="6"/>
        <v>1486.6519253604365</v>
      </c>
      <c r="S25" s="25">
        <f t="shared" si="6"/>
        <v>1508.9517042408427</v>
      </c>
      <c r="T25" s="25">
        <f t="shared" si="6"/>
        <v>1531.5859798044551</v>
      </c>
      <c r="U25" s="25">
        <f t="shared" si="6"/>
        <v>1554.5597695015219</v>
      </c>
      <c r="V25" s="25">
        <f t="shared" si="6"/>
        <v>1577.8781660440445</v>
      </c>
      <c r="W25" s="25">
        <f t="shared" si="6"/>
        <v>1601.546338534705</v>
      </c>
      <c r="X25" s="25">
        <f t="shared" si="6"/>
        <v>1625.5695336127253</v>
      </c>
      <c r="Y25" s="25">
        <f t="shared" si="6"/>
        <v>1649.953076616916</v>
      </c>
      <c r="Z25" s="25">
        <f t="shared" si="6"/>
        <v>1674.7023727661694</v>
      </c>
      <c r="AA25" s="25">
        <f t="shared" si="6"/>
        <v>1699.8229083576616</v>
      </c>
      <c r="AB25" s="25">
        <f t="shared" si="6"/>
        <v>1725.3202519830263</v>
      </c>
      <c r="AC25" s="25">
        <f t="shared" si="6"/>
        <v>1751.2000557627716</v>
      </c>
      <c r="AD25" s="25">
        <f t="shared" si="6"/>
        <v>1777.4680565992128</v>
      </c>
      <c r="AE25" s="25">
        <f t="shared" si="6"/>
        <v>1804.1300774482008</v>
      </c>
      <c r="AF25" s="25">
        <f t="shared" si="6"/>
        <v>1831.1920286099237</v>
      </c>
      <c r="AG25" s="25">
        <f t="shared" si="6"/>
        <v>1858.6599090390721</v>
      </c>
      <c r="AH25" s="25">
        <f t="shared" si="6"/>
        <v>1886.5398076746581</v>
      </c>
      <c r="AI25" s="25">
        <f t="shared" si="6"/>
        <v>1914.8379047897774</v>
      </c>
      <c r="AJ25" s="25">
        <f t="shared" si="6"/>
        <v>1943.560473361624</v>
      </c>
      <c r="AK25" s="25">
        <f t="shared" si="6"/>
        <v>1972.7138804620481</v>
      </c>
      <c r="AL25" s="25">
        <f t="shared" si="6"/>
        <v>2002.3045886689786</v>
      </c>
      <c r="AM25" s="25">
        <f t="shared" si="6"/>
        <v>2032.339157499013</v>
      </c>
      <c r="AN25" s="25">
        <f t="shared" si="6"/>
        <v>2062.8242448614978</v>
      </c>
      <c r="AO25" s="25">
        <f t="shared" si="6"/>
        <v>2093.7666085344199</v>
      </c>
      <c r="AP25" s="25">
        <f t="shared" si="6"/>
        <v>2125.1731076624365</v>
      </c>
    </row>
    <row r="26" spans="1:42" x14ac:dyDescent="0.2">
      <c r="A26" s="40" t="s">
        <v>166</v>
      </c>
      <c r="B26" s="21" t="s">
        <v>7</v>
      </c>
      <c r="C26" s="34">
        <v>0.08</v>
      </c>
      <c r="D26" s="21" t="s">
        <v>8</v>
      </c>
      <c r="F26" s="74" t="s">
        <v>194</v>
      </c>
      <c r="G26" s="59"/>
      <c r="H26" s="59"/>
      <c r="I26" s="106"/>
      <c r="K26" s="24" t="s">
        <v>72</v>
      </c>
      <c r="L26" s="24"/>
      <c r="M26" s="25">
        <f t="shared" ref="M26:AP26" si="7">$C33*$C34*$C35*365</f>
        <v>28105</v>
      </c>
      <c r="N26" s="25">
        <f t="shared" si="7"/>
        <v>28105</v>
      </c>
      <c r="O26" s="25">
        <f t="shared" si="7"/>
        <v>28105</v>
      </c>
      <c r="P26" s="25">
        <f t="shared" si="7"/>
        <v>28105</v>
      </c>
      <c r="Q26" s="25">
        <f t="shared" si="7"/>
        <v>28105</v>
      </c>
      <c r="R26" s="25">
        <f t="shared" si="7"/>
        <v>28105</v>
      </c>
      <c r="S26" s="25">
        <f t="shared" si="7"/>
        <v>28105</v>
      </c>
      <c r="T26" s="25">
        <f t="shared" si="7"/>
        <v>28105</v>
      </c>
      <c r="U26" s="25">
        <f t="shared" si="7"/>
        <v>28105</v>
      </c>
      <c r="V26" s="25">
        <f t="shared" si="7"/>
        <v>28105</v>
      </c>
      <c r="W26" s="25">
        <f t="shared" si="7"/>
        <v>28105</v>
      </c>
      <c r="X26" s="25">
        <f t="shared" si="7"/>
        <v>28105</v>
      </c>
      <c r="Y26" s="25">
        <f t="shared" si="7"/>
        <v>28105</v>
      </c>
      <c r="Z26" s="25">
        <f t="shared" si="7"/>
        <v>28105</v>
      </c>
      <c r="AA26" s="25">
        <f t="shared" si="7"/>
        <v>28105</v>
      </c>
      <c r="AB26" s="25">
        <f t="shared" si="7"/>
        <v>28105</v>
      </c>
      <c r="AC26" s="25">
        <f t="shared" si="7"/>
        <v>28105</v>
      </c>
      <c r="AD26" s="25">
        <f t="shared" si="7"/>
        <v>28105</v>
      </c>
      <c r="AE26" s="25">
        <f t="shared" si="7"/>
        <v>28105</v>
      </c>
      <c r="AF26" s="25">
        <f t="shared" si="7"/>
        <v>28105</v>
      </c>
      <c r="AG26" s="25">
        <f t="shared" si="7"/>
        <v>28105</v>
      </c>
      <c r="AH26" s="25">
        <f t="shared" si="7"/>
        <v>28105</v>
      </c>
      <c r="AI26" s="25">
        <f t="shared" si="7"/>
        <v>28105</v>
      </c>
      <c r="AJ26" s="25">
        <f t="shared" si="7"/>
        <v>28105</v>
      </c>
      <c r="AK26" s="25">
        <f t="shared" si="7"/>
        <v>28105</v>
      </c>
      <c r="AL26" s="25">
        <f t="shared" si="7"/>
        <v>28105</v>
      </c>
      <c r="AM26" s="25">
        <f t="shared" si="7"/>
        <v>28105</v>
      </c>
      <c r="AN26" s="25">
        <f t="shared" si="7"/>
        <v>28105</v>
      </c>
      <c r="AO26" s="25">
        <f t="shared" si="7"/>
        <v>28105</v>
      </c>
      <c r="AP26" s="25">
        <f t="shared" si="7"/>
        <v>28105</v>
      </c>
    </row>
    <row r="27" spans="1:42" x14ac:dyDescent="0.2">
      <c r="A27" s="40"/>
      <c r="B27" s="21" t="s">
        <v>87</v>
      </c>
      <c r="C27" s="31" t="s">
        <v>56</v>
      </c>
      <c r="D27" s="21" t="s">
        <v>47</v>
      </c>
      <c r="F27" s="61" t="s">
        <v>171</v>
      </c>
      <c r="G27" s="65" t="s">
        <v>123</v>
      </c>
      <c r="H27" s="69">
        <v>4.0999999999999996</v>
      </c>
      <c r="I27" s="18"/>
      <c r="K27" s="24" t="s">
        <v>89</v>
      </c>
      <c r="L27" s="24"/>
      <c r="M27" s="25">
        <f>$C36</f>
        <v>0</v>
      </c>
      <c r="N27" s="25">
        <f>$C36</f>
        <v>0</v>
      </c>
      <c r="O27" s="25">
        <f>$C36</f>
        <v>0</v>
      </c>
      <c r="P27" s="25">
        <f>$C36</f>
        <v>0</v>
      </c>
      <c r="Q27" s="25">
        <f>$C36</f>
        <v>0</v>
      </c>
      <c r="R27" s="25">
        <f>$C37</f>
        <v>0</v>
      </c>
      <c r="S27" s="25">
        <f>$C37</f>
        <v>0</v>
      </c>
      <c r="T27" s="25">
        <f>$C37</f>
        <v>0</v>
      </c>
      <c r="U27" s="25">
        <f>$C37</f>
        <v>0</v>
      </c>
      <c r="V27" s="25">
        <f>$C37</f>
        <v>0</v>
      </c>
      <c r="W27" s="25">
        <f t="shared" ref="W27:AP27" si="8">$C38</f>
        <v>0</v>
      </c>
      <c r="X27" s="25">
        <f t="shared" si="8"/>
        <v>0</v>
      </c>
      <c r="Y27" s="25">
        <f t="shared" si="8"/>
        <v>0</v>
      </c>
      <c r="Z27" s="25">
        <f t="shared" si="8"/>
        <v>0</v>
      </c>
      <c r="AA27" s="25">
        <f t="shared" si="8"/>
        <v>0</v>
      </c>
      <c r="AB27" s="25">
        <f t="shared" si="8"/>
        <v>0</v>
      </c>
      <c r="AC27" s="25">
        <f t="shared" si="8"/>
        <v>0</v>
      </c>
      <c r="AD27" s="25">
        <f t="shared" si="8"/>
        <v>0</v>
      </c>
      <c r="AE27" s="25">
        <f t="shared" si="8"/>
        <v>0</v>
      </c>
      <c r="AF27" s="25">
        <f t="shared" si="8"/>
        <v>0</v>
      </c>
      <c r="AG27" s="25">
        <f t="shared" si="8"/>
        <v>0</v>
      </c>
      <c r="AH27" s="25">
        <f t="shared" si="8"/>
        <v>0</v>
      </c>
      <c r="AI27" s="25">
        <f t="shared" si="8"/>
        <v>0</v>
      </c>
      <c r="AJ27" s="25">
        <f t="shared" si="8"/>
        <v>0</v>
      </c>
      <c r="AK27" s="25">
        <f t="shared" si="8"/>
        <v>0</v>
      </c>
      <c r="AL27" s="25">
        <f t="shared" si="8"/>
        <v>0</v>
      </c>
      <c r="AM27" s="25">
        <f t="shared" si="8"/>
        <v>0</v>
      </c>
      <c r="AN27" s="25">
        <f t="shared" si="8"/>
        <v>0</v>
      </c>
      <c r="AO27" s="25">
        <f t="shared" si="8"/>
        <v>0</v>
      </c>
      <c r="AP27" s="25">
        <f t="shared" si="8"/>
        <v>0</v>
      </c>
    </row>
    <row r="28" spans="1:42" x14ac:dyDescent="0.2">
      <c r="A28" s="40"/>
      <c r="B28" s="21" t="s">
        <v>116</v>
      </c>
      <c r="C28" s="35">
        <v>5</v>
      </c>
      <c r="D28" s="21" t="s">
        <v>68</v>
      </c>
      <c r="F28" s="61" t="s">
        <v>174</v>
      </c>
      <c r="G28" s="65" t="s">
        <v>124</v>
      </c>
      <c r="H28" s="70">
        <v>275.43099999999998</v>
      </c>
      <c r="I28" s="18" t="s">
        <v>126</v>
      </c>
      <c r="K28" s="24" t="s">
        <v>73</v>
      </c>
      <c r="L28" s="24"/>
      <c r="M28" s="25">
        <f t="shared" ref="M28:AP28" si="9">IF(L7&lt;$C32, ($C8*365*$C29*$C31)*(1+$C30)^L7+IF($C27="No", 0, ($C7*12*$C28*$C31)*(1+$C30)^L7), 0)</f>
        <v>0</v>
      </c>
      <c r="N28" s="25">
        <f t="shared" si="9"/>
        <v>0</v>
      </c>
      <c r="O28" s="25">
        <f t="shared" si="9"/>
        <v>0</v>
      </c>
      <c r="P28" s="25">
        <f t="shared" si="9"/>
        <v>0</v>
      </c>
      <c r="Q28" s="25">
        <f t="shared" si="9"/>
        <v>0</v>
      </c>
      <c r="R28" s="25">
        <f t="shared" si="9"/>
        <v>0</v>
      </c>
      <c r="S28" s="25">
        <f t="shared" si="9"/>
        <v>0</v>
      </c>
      <c r="T28" s="25">
        <f t="shared" si="9"/>
        <v>0</v>
      </c>
      <c r="U28" s="25">
        <f t="shared" si="9"/>
        <v>0</v>
      </c>
      <c r="V28" s="25">
        <f t="shared" si="9"/>
        <v>0</v>
      </c>
      <c r="W28" s="25">
        <f t="shared" si="9"/>
        <v>0</v>
      </c>
      <c r="X28" s="25">
        <f t="shared" si="9"/>
        <v>0</v>
      </c>
      <c r="Y28" s="25">
        <f t="shared" si="9"/>
        <v>0</v>
      </c>
      <c r="Z28" s="25">
        <f t="shared" si="9"/>
        <v>0</v>
      </c>
      <c r="AA28" s="25">
        <f t="shared" si="9"/>
        <v>0</v>
      </c>
      <c r="AB28" s="25">
        <f t="shared" si="9"/>
        <v>0</v>
      </c>
      <c r="AC28" s="25">
        <f t="shared" si="9"/>
        <v>0</v>
      </c>
      <c r="AD28" s="25">
        <f t="shared" si="9"/>
        <v>0</v>
      </c>
      <c r="AE28" s="25">
        <f t="shared" si="9"/>
        <v>0</v>
      </c>
      <c r="AF28" s="25">
        <f t="shared" si="9"/>
        <v>0</v>
      </c>
      <c r="AG28" s="25">
        <f t="shared" si="9"/>
        <v>0</v>
      </c>
      <c r="AH28" s="25">
        <f t="shared" si="9"/>
        <v>0</v>
      </c>
      <c r="AI28" s="25">
        <f t="shared" si="9"/>
        <v>0</v>
      </c>
      <c r="AJ28" s="25">
        <f t="shared" si="9"/>
        <v>0</v>
      </c>
      <c r="AK28" s="25">
        <f t="shared" si="9"/>
        <v>0</v>
      </c>
      <c r="AL28" s="25">
        <f t="shared" si="9"/>
        <v>0</v>
      </c>
      <c r="AM28" s="25">
        <f t="shared" si="9"/>
        <v>0</v>
      </c>
      <c r="AN28" s="25">
        <f t="shared" si="9"/>
        <v>0</v>
      </c>
      <c r="AO28" s="25">
        <f t="shared" si="9"/>
        <v>0</v>
      </c>
      <c r="AP28" s="25">
        <f t="shared" si="9"/>
        <v>0</v>
      </c>
    </row>
    <row r="29" spans="1:42" x14ac:dyDescent="0.2">
      <c r="A29" s="40"/>
      <c r="B29" s="21" t="s">
        <v>79</v>
      </c>
      <c r="C29" s="34">
        <v>0</v>
      </c>
      <c r="D29" s="21" t="s">
        <v>8</v>
      </c>
      <c r="F29" s="66" t="s">
        <v>175</v>
      </c>
      <c r="G29" s="67" t="s">
        <v>125</v>
      </c>
      <c r="H29" s="71">
        <v>584.16499999999996</v>
      </c>
      <c r="I29" s="106" t="s">
        <v>126</v>
      </c>
      <c r="K29" s="24" t="s">
        <v>74</v>
      </c>
      <c r="L29" s="24"/>
      <c r="M29" s="90">
        <f t="shared" ref="M29:AP29" si="10">$C39</f>
        <v>0</v>
      </c>
      <c r="N29" s="90">
        <f t="shared" si="10"/>
        <v>0</v>
      </c>
      <c r="O29" s="90">
        <f t="shared" si="10"/>
        <v>0</v>
      </c>
      <c r="P29" s="90">
        <f t="shared" si="10"/>
        <v>0</v>
      </c>
      <c r="Q29" s="90">
        <f t="shared" si="10"/>
        <v>0</v>
      </c>
      <c r="R29" s="90">
        <f t="shared" si="10"/>
        <v>0</v>
      </c>
      <c r="S29" s="90">
        <f t="shared" si="10"/>
        <v>0</v>
      </c>
      <c r="T29" s="90">
        <f t="shared" si="10"/>
        <v>0</v>
      </c>
      <c r="U29" s="90">
        <f t="shared" si="10"/>
        <v>0</v>
      </c>
      <c r="V29" s="90">
        <f t="shared" si="10"/>
        <v>0</v>
      </c>
      <c r="W29" s="90">
        <f t="shared" si="10"/>
        <v>0</v>
      </c>
      <c r="X29" s="90">
        <f t="shared" si="10"/>
        <v>0</v>
      </c>
      <c r="Y29" s="90">
        <f t="shared" si="10"/>
        <v>0</v>
      </c>
      <c r="Z29" s="90">
        <f t="shared" si="10"/>
        <v>0</v>
      </c>
      <c r="AA29" s="90">
        <f t="shared" si="10"/>
        <v>0</v>
      </c>
      <c r="AB29" s="90">
        <f t="shared" si="10"/>
        <v>0</v>
      </c>
      <c r="AC29" s="90">
        <f t="shared" si="10"/>
        <v>0</v>
      </c>
      <c r="AD29" s="90">
        <f t="shared" si="10"/>
        <v>0</v>
      </c>
      <c r="AE29" s="90">
        <f t="shared" si="10"/>
        <v>0</v>
      </c>
      <c r="AF29" s="90">
        <f t="shared" si="10"/>
        <v>0</v>
      </c>
      <c r="AG29" s="90">
        <f t="shared" si="10"/>
        <v>0</v>
      </c>
      <c r="AH29" s="90">
        <f t="shared" si="10"/>
        <v>0</v>
      </c>
      <c r="AI29" s="90">
        <f t="shared" si="10"/>
        <v>0</v>
      </c>
      <c r="AJ29" s="90">
        <f t="shared" si="10"/>
        <v>0</v>
      </c>
      <c r="AK29" s="90">
        <f t="shared" si="10"/>
        <v>0</v>
      </c>
      <c r="AL29" s="90">
        <f t="shared" si="10"/>
        <v>0</v>
      </c>
      <c r="AM29" s="90">
        <f t="shared" si="10"/>
        <v>0</v>
      </c>
      <c r="AN29" s="90">
        <f t="shared" si="10"/>
        <v>0</v>
      </c>
      <c r="AO29" s="90">
        <f t="shared" si="10"/>
        <v>0</v>
      </c>
      <c r="AP29" s="90">
        <f t="shared" si="10"/>
        <v>0</v>
      </c>
    </row>
    <row r="30" spans="1:42" ht="12.75" customHeight="1" x14ac:dyDescent="0.2">
      <c r="A30" s="41"/>
      <c r="B30" s="42" t="s">
        <v>90</v>
      </c>
      <c r="C30" s="53">
        <v>1.4999999999999999E-2</v>
      </c>
      <c r="D30" s="42" t="s">
        <v>6</v>
      </c>
      <c r="F30" s="61" t="s">
        <v>171</v>
      </c>
      <c r="G30" s="65" t="s">
        <v>123</v>
      </c>
      <c r="H30" s="69">
        <v>5.5215692779515137E-2</v>
      </c>
      <c r="I30" s="18"/>
      <c r="K30" s="24" t="s">
        <v>36</v>
      </c>
      <c r="L30" s="24"/>
      <c r="M30" s="47">
        <f>M8/1000*$C40</f>
        <v>0</v>
      </c>
      <c r="N30" s="47">
        <f>N8/1000*$C40</f>
        <v>0</v>
      </c>
      <c r="O30" s="47">
        <f>O8/1000*$C40</f>
        <v>0</v>
      </c>
      <c r="P30" s="47">
        <f>P8/1000*$C40</f>
        <v>0</v>
      </c>
      <c r="Q30" s="47">
        <f>Q8/1000*$C40</f>
        <v>0</v>
      </c>
      <c r="R30" s="47">
        <f>R8/1000*$C41</f>
        <v>0</v>
      </c>
      <c r="S30" s="47">
        <f>S8/1000*$C41</f>
        <v>0</v>
      </c>
      <c r="T30" s="47">
        <f>T8/1000*$C41</f>
        <v>0</v>
      </c>
      <c r="U30" s="47">
        <f>U8/1000*$C41</f>
        <v>0</v>
      </c>
      <c r="V30" s="47">
        <f>V8/1000*$C41</f>
        <v>0</v>
      </c>
      <c r="W30" s="47">
        <f t="shared" ref="W30:AP30" si="11">W8/1000*$C42</f>
        <v>0</v>
      </c>
      <c r="X30" s="47">
        <f t="shared" si="11"/>
        <v>0</v>
      </c>
      <c r="Y30" s="47">
        <f t="shared" si="11"/>
        <v>0</v>
      </c>
      <c r="Z30" s="47">
        <f t="shared" si="11"/>
        <v>0</v>
      </c>
      <c r="AA30" s="47">
        <f t="shared" si="11"/>
        <v>0</v>
      </c>
      <c r="AB30" s="47">
        <f t="shared" si="11"/>
        <v>0</v>
      </c>
      <c r="AC30" s="47">
        <f t="shared" si="11"/>
        <v>0</v>
      </c>
      <c r="AD30" s="47">
        <f t="shared" si="11"/>
        <v>0</v>
      </c>
      <c r="AE30" s="47">
        <f t="shared" si="11"/>
        <v>0</v>
      </c>
      <c r="AF30" s="47">
        <f t="shared" si="11"/>
        <v>0</v>
      </c>
      <c r="AG30" s="47">
        <f t="shared" si="11"/>
        <v>0</v>
      </c>
      <c r="AH30" s="47">
        <f t="shared" si="11"/>
        <v>0</v>
      </c>
      <c r="AI30" s="47">
        <f t="shared" si="11"/>
        <v>0</v>
      </c>
      <c r="AJ30" s="47">
        <f t="shared" si="11"/>
        <v>0</v>
      </c>
      <c r="AK30" s="47">
        <f t="shared" si="11"/>
        <v>0</v>
      </c>
      <c r="AL30" s="47">
        <f t="shared" si="11"/>
        <v>0</v>
      </c>
      <c r="AM30" s="47">
        <f t="shared" si="11"/>
        <v>0</v>
      </c>
      <c r="AN30" s="47">
        <f t="shared" si="11"/>
        <v>0</v>
      </c>
      <c r="AO30" s="47">
        <f t="shared" si="11"/>
        <v>0</v>
      </c>
      <c r="AP30" s="47">
        <f t="shared" si="11"/>
        <v>0</v>
      </c>
    </row>
    <row r="31" spans="1:42" x14ac:dyDescent="0.2">
      <c r="A31" s="40" t="s">
        <v>161</v>
      </c>
      <c r="B31" s="21" t="s">
        <v>93</v>
      </c>
      <c r="C31" s="32">
        <v>0.9</v>
      </c>
      <c r="D31" s="21" t="s">
        <v>6</v>
      </c>
      <c r="F31" s="61" t="s">
        <v>172</v>
      </c>
      <c r="G31" s="65" t="s">
        <v>124</v>
      </c>
      <c r="H31" s="70">
        <v>3.4513562409598726</v>
      </c>
      <c r="I31" s="18" t="s">
        <v>126</v>
      </c>
      <c r="K31" s="26" t="s">
        <v>69</v>
      </c>
      <c r="L31" s="24"/>
      <c r="M31" s="25">
        <f>SUM(M24:M30)</f>
        <v>53484.44</v>
      </c>
      <c r="N31" s="25">
        <f t="shared" ref="N31:AP31" si="12">SUM(N24:N30)</f>
        <v>53743.334441999999</v>
      </c>
      <c r="O31" s="25">
        <f t="shared" si="12"/>
        <v>54004.903463836847</v>
      </c>
      <c r="P31" s="25">
        <f t="shared" si="12"/>
        <v>54269.175186502922</v>
      </c>
      <c r="Q31" s="25">
        <f t="shared" si="12"/>
        <v>54536.178033728269</v>
      </c>
      <c r="R31" s="25">
        <f t="shared" si="12"/>
        <v>54805.94073533982</v>
      </c>
      <c r="S31" s="25">
        <f t="shared" si="12"/>
        <v>55078.492330659268</v>
      </c>
      <c r="T31" s="25">
        <f t="shared" si="12"/>
        <v>55353.862171940083</v>
      </c>
      <c r="U31" s="25">
        <f t="shared" si="12"/>
        <v>55632.07992784409</v>
      </c>
      <c r="V31" s="25">
        <f t="shared" si="12"/>
        <v>55913.175586958154</v>
      </c>
      <c r="W31" s="25">
        <f t="shared" si="12"/>
        <v>56197.179461351392</v>
      </c>
      <c r="X31" s="25">
        <f t="shared" si="12"/>
        <v>56484.122190173366</v>
      </c>
      <c r="Y31" s="25">
        <f t="shared" si="12"/>
        <v>56774.034743293916</v>
      </c>
      <c r="Z31" s="25">
        <f t="shared" si="12"/>
        <v>57066.948424984941</v>
      </c>
      <c r="AA31" s="25">
        <f t="shared" si="12"/>
        <v>57362.8948776447</v>
      </c>
      <c r="AB31" s="25">
        <f t="shared" si="12"/>
        <v>57661.906085565228</v>
      </c>
      <c r="AC31" s="25">
        <f t="shared" si="12"/>
        <v>57964.014378743275</v>
      </c>
      <c r="AD31" s="25">
        <f t="shared" si="12"/>
        <v>58269.252436735289</v>
      </c>
      <c r="AE31" s="25">
        <f t="shared" si="12"/>
        <v>58577.653292557137</v>
      </c>
      <c r="AF31" s="25">
        <f t="shared" si="12"/>
        <v>58889.2503366288</v>
      </c>
      <c r="AG31" s="25">
        <f t="shared" si="12"/>
        <v>59204.077320765035</v>
      </c>
      <c r="AH31" s="25">
        <f t="shared" si="12"/>
        <v>59522.168362212004</v>
      </c>
      <c r="AI31" s="25">
        <f t="shared" si="12"/>
        <v>59843.557947730893</v>
      </c>
      <c r="AJ31" s="25">
        <f t="shared" si="12"/>
        <v>60168.28093772893</v>
      </c>
      <c r="AK31" s="25">
        <f t="shared" si="12"/>
        <v>60496.372570438194</v>
      </c>
      <c r="AL31" s="25">
        <f t="shared" si="12"/>
        <v>60827.86846614314</v>
      </c>
      <c r="AM31" s="25">
        <f t="shared" si="12"/>
        <v>61162.804631457104</v>
      </c>
      <c r="AN31" s="25">
        <f t="shared" si="12"/>
        <v>61501.217463648609</v>
      </c>
      <c r="AO31" s="25">
        <f t="shared" si="12"/>
        <v>61843.143755017991</v>
      </c>
      <c r="AP31" s="25">
        <f t="shared" si="12"/>
        <v>62188.620697324863</v>
      </c>
    </row>
    <row r="32" spans="1:42" x14ac:dyDescent="0.2">
      <c r="A32" s="41" t="s">
        <v>162</v>
      </c>
      <c r="B32" s="42" t="s">
        <v>109</v>
      </c>
      <c r="C32" s="54">
        <v>10</v>
      </c>
      <c r="D32" s="42" t="s">
        <v>22</v>
      </c>
      <c r="F32" s="66" t="s">
        <v>173</v>
      </c>
      <c r="G32" s="67" t="s">
        <v>125</v>
      </c>
      <c r="H32" s="71">
        <v>5.6997757861907354</v>
      </c>
      <c r="I32" s="59" t="s">
        <v>126</v>
      </c>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x14ac:dyDescent="0.2">
      <c r="A33" s="40" t="s">
        <v>107</v>
      </c>
      <c r="B33" s="21" t="s">
        <v>83</v>
      </c>
      <c r="C33" s="37">
        <v>77</v>
      </c>
      <c r="D33" s="21" t="s">
        <v>85</v>
      </c>
      <c r="F33" s="18" t="s">
        <v>201</v>
      </c>
      <c r="G33" s="18"/>
      <c r="H33" s="18"/>
      <c r="I33" s="18"/>
      <c r="K33" s="24" t="s">
        <v>12</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row>
    <row r="34" spans="1:42" x14ac:dyDescent="0.2">
      <c r="A34" s="40"/>
      <c r="B34" s="21" t="s">
        <v>114</v>
      </c>
      <c r="C34" s="28">
        <v>2</v>
      </c>
      <c r="D34" s="21" t="s">
        <v>3</v>
      </c>
      <c r="F34" s="74" t="s">
        <v>183</v>
      </c>
      <c r="G34" s="73"/>
      <c r="H34" s="59"/>
      <c r="I34" s="106"/>
      <c r="K34" s="24" t="s">
        <v>14</v>
      </c>
      <c r="L34" s="24"/>
      <c r="M34" s="25">
        <f t="shared" ref="M34:AP34" si="13">$C43*$C6*(1+$C$45)^L$7</f>
        <v>3986</v>
      </c>
      <c r="N34" s="25">
        <f t="shared" si="13"/>
        <v>4045.7899999999995</v>
      </c>
      <c r="O34" s="25">
        <f t="shared" si="13"/>
        <v>4106.4768499999991</v>
      </c>
      <c r="P34" s="25">
        <f t="shared" si="13"/>
        <v>4168.0740027499987</v>
      </c>
      <c r="Q34" s="25">
        <f t="shared" si="13"/>
        <v>4230.5951127912476</v>
      </c>
      <c r="R34" s="25">
        <f t="shared" si="13"/>
        <v>4294.054039483116</v>
      </c>
      <c r="S34" s="25">
        <f t="shared" si="13"/>
        <v>4358.4648500753619</v>
      </c>
      <c r="T34" s="25">
        <f t="shared" si="13"/>
        <v>4423.8418228264918</v>
      </c>
      <c r="U34" s="25">
        <f t="shared" si="13"/>
        <v>4490.1994501688887</v>
      </c>
      <c r="V34" s="25">
        <f t="shared" si="13"/>
        <v>4557.5524419214216</v>
      </c>
      <c r="W34" s="25">
        <f t="shared" si="13"/>
        <v>4625.9157285502424</v>
      </c>
      <c r="X34" s="25">
        <f t="shared" si="13"/>
        <v>4695.304464478495</v>
      </c>
      <c r="Y34" s="25">
        <f t="shared" si="13"/>
        <v>4765.7340314456715</v>
      </c>
      <c r="Z34" s="25">
        <f t="shared" si="13"/>
        <v>4837.220041917356</v>
      </c>
      <c r="AA34" s="25">
        <f t="shared" si="13"/>
        <v>4909.7783425461157</v>
      </c>
      <c r="AB34" s="25">
        <f t="shared" si="13"/>
        <v>4983.4250176843061</v>
      </c>
      <c r="AC34" s="25">
        <f t="shared" si="13"/>
        <v>5058.1763929495701</v>
      </c>
      <c r="AD34" s="25">
        <f t="shared" si="13"/>
        <v>5134.0490388438129</v>
      </c>
      <c r="AE34" s="25">
        <f t="shared" si="13"/>
        <v>5211.0597744264705</v>
      </c>
      <c r="AF34" s="25">
        <f t="shared" si="13"/>
        <v>5289.2256710428665</v>
      </c>
      <c r="AG34" s="25">
        <f t="shared" si="13"/>
        <v>5368.5640561085083</v>
      </c>
      <c r="AH34" s="25">
        <f t="shared" si="13"/>
        <v>5449.0925169501352</v>
      </c>
      <c r="AI34" s="25">
        <f t="shared" si="13"/>
        <v>5530.8289047043863</v>
      </c>
      <c r="AJ34" s="25">
        <f t="shared" si="13"/>
        <v>5613.7913382749512</v>
      </c>
      <c r="AK34" s="25">
        <f t="shared" si="13"/>
        <v>5697.998208349075</v>
      </c>
      <c r="AL34" s="25">
        <f t="shared" si="13"/>
        <v>5783.4681814743108</v>
      </c>
      <c r="AM34" s="25">
        <f t="shared" si="13"/>
        <v>5870.2202041964247</v>
      </c>
      <c r="AN34" s="25">
        <f t="shared" si="13"/>
        <v>5958.2735072593705</v>
      </c>
      <c r="AO34" s="25">
        <f t="shared" si="13"/>
        <v>6047.6476098682597</v>
      </c>
      <c r="AP34" s="25">
        <f t="shared" si="13"/>
        <v>6138.3623240162833</v>
      </c>
    </row>
    <row r="35" spans="1:42" x14ac:dyDescent="0.2">
      <c r="A35" s="41"/>
      <c r="B35" s="42" t="s">
        <v>84</v>
      </c>
      <c r="C35" s="52">
        <v>0.5</v>
      </c>
      <c r="D35" s="42" t="s">
        <v>6</v>
      </c>
      <c r="F35" s="61" t="s">
        <v>178</v>
      </c>
      <c r="G35" s="18"/>
      <c r="H35" s="92">
        <f>IF(C8&gt;0,(C21-(C8*365*(1-C31)))/12, C21/12)</f>
        <v>24999.416666666668</v>
      </c>
      <c r="I35" s="18" t="s">
        <v>156</v>
      </c>
      <c r="K35" s="24" t="s">
        <v>46</v>
      </c>
      <c r="L35" s="24"/>
      <c r="M35" s="25">
        <f t="shared" ref="M35:AP35" si="14">IF(M7&gt;$C17, 0, IF($C15="Yes", -IPMT($C18, M7, $C17, -$L20), 0))</f>
        <v>0</v>
      </c>
      <c r="N35" s="25">
        <f t="shared" si="14"/>
        <v>0</v>
      </c>
      <c r="O35" s="25">
        <f t="shared" si="14"/>
        <v>0</v>
      </c>
      <c r="P35" s="25">
        <f t="shared" si="14"/>
        <v>0</v>
      </c>
      <c r="Q35" s="25">
        <f t="shared" si="14"/>
        <v>0</v>
      </c>
      <c r="R35" s="25">
        <f t="shared" si="14"/>
        <v>0</v>
      </c>
      <c r="S35" s="25">
        <f t="shared" si="14"/>
        <v>0</v>
      </c>
      <c r="T35" s="25">
        <f t="shared" si="14"/>
        <v>0</v>
      </c>
      <c r="U35" s="25">
        <f t="shared" si="14"/>
        <v>0</v>
      </c>
      <c r="V35" s="25">
        <f t="shared" si="14"/>
        <v>0</v>
      </c>
      <c r="W35" s="25">
        <f t="shared" si="14"/>
        <v>0</v>
      </c>
      <c r="X35" s="25">
        <f t="shared" si="14"/>
        <v>0</v>
      </c>
      <c r="Y35" s="25">
        <f t="shared" si="14"/>
        <v>0</v>
      </c>
      <c r="Z35" s="25">
        <f t="shared" si="14"/>
        <v>0</v>
      </c>
      <c r="AA35" s="25">
        <f t="shared" si="14"/>
        <v>0</v>
      </c>
      <c r="AB35" s="25">
        <f t="shared" si="14"/>
        <v>0</v>
      </c>
      <c r="AC35" s="25">
        <f t="shared" si="14"/>
        <v>0</v>
      </c>
      <c r="AD35" s="25">
        <f t="shared" si="14"/>
        <v>0</v>
      </c>
      <c r="AE35" s="25">
        <f t="shared" si="14"/>
        <v>0</v>
      </c>
      <c r="AF35" s="25">
        <f t="shared" si="14"/>
        <v>0</v>
      </c>
      <c r="AG35" s="25">
        <f t="shared" si="14"/>
        <v>0</v>
      </c>
      <c r="AH35" s="25">
        <f t="shared" si="14"/>
        <v>0</v>
      </c>
      <c r="AI35" s="25">
        <f t="shared" si="14"/>
        <v>0</v>
      </c>
      <c r="AJ35" s="25">
        <f t="shared" si="14"/>
        <v>0</v>
      </c>
      <c r="AK35" s="25">
        <f t="shared" si="14"/>
        <v>0</v>
      </c>
      <c r="AL35" s="25">
        <f t="shared" si="14"/>
        <v>0</v>
      </c>
      <c r="AM35" s="25">
        <f t="shared" si="14"/>
        <v>0</v>
      </c>
      <c r="AN35" s="25">
        <f t="shared" si="14"/>
        <v>0</v>
      </c>
      <c r="AO35" s="25">
        <f t="shared" si="14"/>
        <v>0</v>
      </c>
      <c r="AP35" s="25">
        <f t="shared" si="14"/>
        <v>0</v>
      </c>
    </row>
    <row r="36" spans="1:42" x14ac:dyDescent="0.2">
      <c r="A36" s="40" t="s">
        <v>108</v>
      </c>
      <c r="B36" s="21" t="s">
        <v>97</v>
      </c>
      <c r="C36" s="29">
        <v>0</v>
      </c>
      <c r="D36" s="21" t="s">
        <v>98</v>
      </c>
      <c r="F36" s="61" t="s">
        <v>141</v>
      </c>
      <c r="G36" s="65" t="s">
        <v>142</v>
      </c>
      <c r="H36" s="68">
        <v>195</v>
      </c>
      <c r="I36" s="18" t="s">
        <v>181</v>
      </c>
      <c r="K36" s="24" t="s">
        <v>16</v>
      </c>
      <c r="L36" s="24"/>
      <c r="M36" s="25">
        <f t="shared" ref="M36:AP36" si="15">-$C44*(1+$C$45)^L$7</f>
        <v>0</v>
      </c>
      <c r="N36" s="25">
        <f t="shared" si="15"/>
        <v>0</v>
      </c>
      <c r="O36" s="25">
        <f t="shared" si="15"/>
        <v>0</v>
      </c>
      <c r="P36" s="25">
        <f t="shared" si="15"/>
        <v>0</v>
      </c>
      <c r="Q36" s="25">
        <f t="shared" si="15"/>
        <v>0</v>
      </c>
      <c r="R36" s="25">
        <f t="shared" si="15"/>
        <v>0</v>
      </c>
      <c r="S36" s="25">
        <f t="shared" si="15"/>
        <v>0</v>
      </c>
      <c r="T36" s="25">
        <f t="shared" si="15"/>
        <v>0</v>
      </c>
      <c r="U36" s="25">
        <f t="shared" si="15"/>
        <v>0</v>
      </c>
      <c r="V36" s="25">
        <f t="shared" si="15"/>
        <v>0</v>
      </c>
      <c r="W36" s="25">
        <f t="shared" si="15"/>
        <v>0</v>
      </c>
      <c r="X36" s="25">
        <f t="shared" si="15"/>
        <v>0</v>
      </c>
      <c r="Y36" s="25">
        <f t="shared" si="15"/>
        <v>0</v>
      </c>
      <c r="Z36" s="25">
        <f t="shared" si="15"/>
        <v>0</v>
      </c>
      <c r="AA36" s="25">
        <f t="shared" si="15"/>
        <v>0</v>
      </c>
      <c r="AB36" s="25">
        <f t="shared" si="15"/>
        <v>0</v>
      </c>
      <c r="AC36" s="25">
        <f t="shared" si="15"/>
        <v>0</v>
      </c>
      <c r="AD36" s="25">
        <f t="shared" si="15"/>
        <v>0</v>
      </c>
      <c r="AE36" s="25">
        <f t="shared" si="15"/>
        <v>0</v>
      </c>
      <c r="AF36" s="25">
        <f t="shared" si="15"/>
        <v>0</v>
      </c>
      <c r="AG36" s="25">
        <f t="shared" si="15"/>
        <v>0</v>
      </c>
      <c r="AH36" s="25">
        <f t="shared" si="15"/>
        <v>0</v>
      </c>
      <c r="AI36" s="25">
        <f t="shared" si="15"/>
        <v>0</v>
      </c>
      <c r="AJ36" s="25">
        <f t="shared" si="15"/>
        <v>0</v>
      </c>
      <c r="AK36" s="25">
        <f t="shared" si="15"/>
        <v>0</v>
      </c>
      <c r="AL36" s="25">
        <f t="shared" si="15"/>
        <v>0</v>
      </c>
      <c r="AM36" s="25">
        <f t="shared" si="15"/>
        <v>0</v>
      </c>
      <c r="AN36" s="25">
        <f t="shared" si="15"/>
        <v>0</v>
      </c>
      <c r="AO36" s="25">
        <f t="shared" si="15"/>
        <v>0</v>
      </c>
      <c r="AP36" s="25">
        <f t="shared" si="15"/>
        <v>0</v>
      </c>
    </row>
    <row r="37" spans="1:42" ht="12.75" customHeight="1" x14ac:dyDescent="0.2">
      <c r="A37" s="40"/>
      <c r="B37" s="21"/>
      <c r="C37" s="29">
        <v>0</v>
      </c>
      <c r="D37" s="21" t="s">
        <v>99</v>
      </c>
      <c r="F37" s="61" t="s">
        <v>179</v>
      </c>
      <c r="G37" s="65" t="s">
        <v>144</v>
      </c>
      <c r="H37" s="68">
        <v>618</v>
      </c>
      <c r="I37" s="18" t="s">
        <v>181</v>
      </c>
      <c r="K37" s="24" t="s">
        <v>15</v>
      </c>
      <c r="L37" s="24"/>
      <c r="M37" s="25">
        <f t="shared" ref="M37:AP37" si="16">IF(M7=$C47,$C46*$C9*(1+$C48)^L7, IF(M7=2*$C47,$C46*$C9*(1+$C48)^L7, IF(M7=3*$C47,$C46*$C9*(1+$C48)^L7, 0)))</f>
        <v>0</v>
      </c>
      <c r="N37" s="25">
        <f t="shared" si="16"/>
        <v>0</v>
      </c>
      <c r="O37" s="25">
        <f t="shared" si="16"/>
        <v>0</v>
      </c>
      <c r="P37" s="25">
        <f t="shared" si="16"/>
        <v>0</v>
      </c>
      <c r="Q37" s="25">
        <f t="shared" si="16"/>
        <v>0</v>
      </c>
      <c r="R37" s="25">
        <f t="shared" si="16"/>
        <v>0</v>
      </c>
      <c r="S37" s="25">
        <f t="shared" si="16"/>
        <v>0</v>
      </c>
      <c r="T37" s="25">
        <f t="shared" si="16"/>
        <v>0</v>
      </c>
      <c r="U37" s="25">
        <f t="shared" si="16"/>
        <v>0</v>
      </c>
      <c r="V37" s="25">
        <f t="shared" si="16"/>
        <v>0</v>
      </c>
      <c r="W37" s="25">
        <f t="shared" si="16"/>
        <v>0</v>
      </c>
      <c r="X37" s="25">
        <f t="shared" si="16"/>
        <v>0</v>
      </c>
      <c r="Y37" s="25">
        <f t="shared" si="16"/>
        <v>0</v>
      </c>
      <c r="Z37" s="25">
        <f t="shared" si="16"/>
        <v>0</v>
      </c>
      <c r="AA37" s="25">
        <f t="shared" si="16"/>
        <v>0</v>
      </c>
      <c r="AB37" s="25">
        <f t="shared" si="16"/>
        <v>0</v>
      </c>
      <c r="AC37" s="25">
        <f t="shared" si="16"/>
        <v>0</v>
      </c>
      <c r="AD37" s="25">
        <f t="shared" si="16"/>
        <v>0</v>
      </c>
      <c r="AE37" s="25">
        <f t="shared" si="16"/>
        <v>0</v>
      </c>
      <c r="AF37" s="25">
        <f t="shared" si="16"/>
        <v>0</v>
      </c>
      <c r="AG37" s="25">
        <f t="shared" si="16"/>
        <v>0</v>
      </c>
      <c r="AH37" s="25">
        <f t="shared" si="16"/>
        <v>0</v>
      </c>
      <c r="AI37" s="25">
        <f t="shared" si="16"/>
        <v>0</v>
      </c>
      <c r="AJ37" s="25">
        <f t="shared" si="16"/>
        <v>0</v>
      </c>
      <c r="AK37" s="25">
        <f t="shared" si="16"/>
        <v>0</v>
      </c>
      <c r="AL37" s="25">
        <f t="shared" si="16"/>
        <v>0</v>
      </c>
      <c r="AM37" s="25">
        <f t="shared" si="16"/>
        <v>0</v>
      </c>
      <c r="AN37" s="25">
        <f t="shared" si="16"/>
        <v>0</v>
      </c>
      <c r="AO37" s="25">
        <f t="shared" si="16"/>
        <v>0</v>
      </c>
      <c r="AP37" s="25">
        <f t="shared" si="16"/>
        <v>0</v>
      </c>
    </row>
    <row r="38" spans="1:42" x14ac:dyDescent="0.2">
      <c r="A38" s="41"/>
      <c r="B38" s="42"/>
      <c r="C38" s="49">
        <v>0</v>
      </c>
      <c r="D38" s="42" t="s">
        <v>100</v>
      </c>
      <c r="F38" s="66" t="s">
        <v>180</v>
      </c>
      <c r="G38" s="67" t="s">
        <v>143</v>
      </c>
      <c r="H38" s="72">
        <v>367003</v>
      </c>
      <c r="I38" s="59" t="s">
        <v>181</v>
      </c>
      <c r="K38" s="24" t="s">
        <v>29</v>
      </c>
      <c r="L38" s="24"/>
      <c r="M38" s="47">
        <f>IF($C49="None", 0, IF($C49="MACRS",#REF!*- $C$50, 0))</f>
        <v>0</v>
      </c>
      <c r="N38" s="47">
        <f>IF($C49="None", 0, IF($C49="MACRS",#REF!*- $C$50, 0))</f>
        <v>0</v>
      </c>
      <c r="O38" s="47">
        <f>IF($C49="None", 0, IF($C49="MACRS",#REF!*- $C$50, 0))</f>
        <v>0</v>
      </c>
      <c r="P38" s="47">
        <f>IF($C49="None", 0, IF($C49="MACRS",#REF!*- $C$50, 0))</f>
        <v>0</v>
      </c>
      <c r="Q38" s="47">
        <f>IF($C49="None", 0, IF($C49="MACRS",#REF!*- $C$50, 0))</f>
        <v>0</v>
      </c>
      <c r="R38" s="47">
        <f>IF($C49="None", 0, IF($C49="MACRS",#REF!*- $C$50, 0))</f>
        <v>0</v>
      </c>
      <c r="S38" s="47">
        <f>IF($C49="None", 0, IF($C49="MACRS",#REF!*- $C$50, 0))</f>
        <v>0</v>
      </c>
      <c r="T38" s="47">
        <f>IF($C49="None", 0, IF($C49="MACRS",#REF!*- $C$50, 0))</f>
        <v>0</v>
      </c>
      <c r="U38" s="47">
        <f>IF($C49="None", 0, IF($C49="MACRS",#REF!*- $C$50, 0))</f>
        <v>0</v>
      </c>
      <c r="V38" s="47">
        <f>IF($C49="None", 0, IF($C49="MACRS",#REF!*- $C$50, 0))</f>
        <v>0</v>
      </c>
      <c r="W38" s="47">
        <f>IF($C49="None", 0, IF($C49="MACRS",#REF!*- $C$50, 0))</f>
        <v>0</v>
      </c>
      <c r="X38" s="47">
        <f>IF($C49="None", 0, IF($C49="MACRS",#REF!*- $C$50, 0))</f>
        <v>0</v>
      </c>
      <c r="Y38" s="47">
        <f>IF($C49="None", 0, IF($C49="MACRS",#REF!*- $C$50, 0))</f>
        <v>0</v>
      </c>
      <c r="Z38" s="47">
        <f>IF($C49="None", 0, IF($C49="MACRS",#REF!*- $C$50, 0))</f>
        <v>0</v>
      </c>
      <c r="AA38" s="47">
        <f>IF($C49="None", 0, IF($C49="MACRS",#REF!*- $C$50, 0))</f>
        <v>0</v>
      </c>
      <c r="AB38" s="47">
        <f>IF($C49="None", 0, IF($C49="MACRS",#REF!*- $C$50, 0))</f>
        <v>0</v>
      </c>
      <c r="AC38" s="47">
        <f>IF($C49="None", 0, IF($C49="MACRS",#REF!*- $C$50, 0))</f>
        <v>0</v>
      </c>
      <c r="AD38" s="47">
        <f>IF($C49="None", 0, IF($C49="MACRS",#REF!*- $C$50, 0))</f>
        <v>0</v>
      </c>
      <c r="AE38" s="47">
        <f>IF($C49="None", 0, IF($C49="MACRS",#REF!*- $C$50, 0))</f>
        <v>0</v>
      </c>
      <c r="AF38" s="47">
        <f>IF($C49="None", 0, IF($C49="MACRS",#REF!*- $C$50, 0))</f>
        <v>0</v>
      </c>
      <c r="AG38" s="47">
        <f>IF($C49="None", 0, IF($C49="MACRS",#REF!*- $C$50, 0))</f>
        <v>0</v>
      </c>
      <c r="AH38" s="47">
        <f>IF($C49="None", 0, IF($C49="MACRS",#REF!*- $C$50, 0))</f>
        <v>0</v>
      </c>
      <c r="AI38" s="47">
        <f>IF($C49="None", 0, IF($C49="MACRS",#REF!*- $C$50, 0))</f>
        <v>0</v>
      </c>
      <c r="AJ38" s="47">
        <f>IF($C49="None", 0, IF($C49="MACRS",#REF!*- $C$50, 0))</f>
        <v>0</v>
      </c>
      <c r="AK38" s="47">
        <f>IF($C49="None", 0, IF($C49="MACRS",#REF!*- $C$50, 0))</f>
        <v>0</v>
      </c>
      <c r="AL38" s="47">
        <f>IF($C49="None", 0, IF($C49="MACRS",#REF!*- $C$50, 0))</f>
        <v>0</v>
      </c>
      <c r="AM38" s="47">
        <f>IF($C49="None", 0, IF($C49="MACRS",#REF!*- $C$50, 0))</f>
        <v>0</v>
      </c>
      <c r="AN38" s="47">
        <f>IF($C49="None", 0, IF($C49="MACRS",#REF!*- $C$50, 0))</f>
        <v>0</v>
      </c>
      <c r="AO38" s="47">
        <f>IF($C49="None", 0, IF($C49="MACRS",#REF!*- $C$50, 0))</f>
        <v>0</v>
      </c>
      <c r="AP38" s="47">
        <f>IF($C49="None", 0, IF($C49="MACRS",#REF!*- $C$50, 0))</f>
        <v>0</v>
      </c>
    </row>
    <row r="39" spans="1:42" x14ac:dyDescent="0.2">
      <c r="A39" s="43" t="s">
        <v>71</v>
      </c>
      <c r="B39" s="111" t="s">
        <v>214</v>
      </c>
      <c r="C39" s="48">
        <v>0</v>
      </c>
      <c r="D39" s="42" t="s">
        <v>3</v>
      </c>
      <c r="F39" s="65" t="s">
        <v>202</v>
      </c>
      <c r="G39" s="61"/>
      <c r="H39" s="18"/>
      <c r="I39" s="18"/>
      <c r="K39" s="26" t="s">
        <v>37</v>
      </c>
      <c r="L39" s="24"/>
      <c r="M39" s="25">
        <f>-SUM(M34:M38)</f>
        <v>-3986</v>
      </c>
      <c r="N39" s="25">
        <f t="shared" ref="N39:AP39" si="17">-SUM(N34:N38)</f>
        <v>-4045.7899999999995</v>
      </c>
      <c r="O39" s="25">
        <f t="shared" si="17"/>
        <v>-4106.4768499999991</v>
      </c>
      <c r="P39" s="25">
        <f t="shared" si="17"/>
        <v>-4168.0740027499987</v>
      </c>
      <c r="Q39" s="25">
        <f t="shared" si="17"/>
        <v>-4230.5951127912476</v>
      </c>
      <c r="R39" s="25">
        <f t="shared" si="17"/>
        <v>-4294.054039483116</v>
      </c>
      <c r="S39" s="25">
        <f t="shared" si="17"/>
        <v>-4358.4648500753619</v>
      </c>
      <c r="T39" s="25">
        <f t="shared" si="17"/>
        <v>-4423.8418228264918</v>
      </c>
      <c r="U39" s="25">
        <f t="shared" si="17"/>
        <v>-4490.1994501688887</v>
      </c>
      <c r="V39" s="25">
        <f t="shared" si="17"/>
        <v>-4557.5524419214216</v>
      </c>
      <c r="W39" s="25">
        <f t="shared" si="17"/>
        <v>-4625.9157285502424</v>
      </c>
      <c r="X39" s="25">
        <f t="shared" si="17"/>
        <v>-4695.304464478495</v>
      </c>
      <c r="Y39" s="25">
        <f t="shared" si="17"/>
        <v>-4765.7340314456715</v>
      </c>
      <c r="Z39" s="25">
        <f t="shared" si="17"/>
        <v>-4837.220041917356</v>
      </c>
      <c r="AA39" s="25">
        <f t="shared" si="17"/>
        <v>-4909.7783425461157</v>
      </c>
      <c r="AB39" s="25">
        <f t="shared" si="17"/>
        <v>-4983.4250176843061</v>
      </c>
      <c r="AC39" s="25">
        <f t="shared" si="17"/>
        <v>-5058.1763929495701</v>
      </c>
      <c r="AD39" s="25">
        <f t="shared" si="17"/>
        <v>-5134.0490388438129</v>
      </c>
      <c r="AE39" s="25">
        <f t="shared" si="17"/>
        <v>-5211.0597744264705</v>
      </c>
      <c r="AF39" s="25">
        <f t="shared" si="17"/>
        <v>-5289.2256710428665</v>
      </c>
      <c r="AG39" s="25">
        <f t="shared" si="17"/>
        <v>-5368.5640561085083</v>
      </c>
      <c r="AH39" s="25">
        <f t="shared" si="17"/>
        <v>-5449.0925169501352</v>
      </c>
      <c r="AI39" s="25">
        <f t="shared" si="17"/>
        <v>-5530.8289047043863</v>
      </c>
      <c r="AJ39" s="25">
        <f t="shared" si="17"/>
        <v>-5613.7913382749512</v>
      </c>
      <c r="AK39" s="25">
        <f t="shared" si="17"/>
        <v>-5697.998208349075</v>
      </c>
      <c r="AL39" s="25">
        <f t="shared" si="17"/>
        <v>-5783.4681814743108</v>
      </c>
      <c r="AM39" s="25">
        <f t="shared" si="17"/>
        <v>-5870.2202041964247</v>
      </c>
      <c r="AN39" s="25">
        <f t="shared" si="17"/>
        <v>-5958.2735072593705</v>
      </c>
      <c r="AO39" s="25">
        <f t="shared" si="17"/>
        <v>-6047.6476098682597</v>
      </c>
      <c r="AP39" s="25">
        <f t="shared" si="17"/>
        <v>-6138.3623240162833</v>
      </c>
    </row>
    <row r="40" spans="1:42" x14ac:dyDescent="0.2">
      <c r="A40" s="40" t="s">
        <v>82</v>
      </c>
      <c r="B40" s="21" t="s">
        <v>32</v>
      </c>
      <c r="C40" s="29">
        <v>0</v>
      </c>
      <c r="D40" s="21" t="s">
        <v>33</v>
      </c>
      <c r="F40" s="77" t="s">
        <v>182</v>
      </c>
      <c r="G40" s="78"/>
      <c r="H40" s="59"/>
      <c r="I40" s="106"/>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x14ac:dyDescent="0.2">
      <c r="A41" s="40"/>
      <c r="B41" s="21"/>
      <c r="C41" s="29">
        <v>0</v>
      </c>
      <c r="D41" s="21" t="s">
        <v>34</v>
      </c>
      <c r="F41" s="61" t="s">
        <v>179</v>
      </c>
      <c r="G41" s="65" t="s">
        <v>145</v>
      </c>
      <c r="H41" s="75">
        <v>398971</v>
      </c>
      <c r="I41" s="18" t="s">
        <v>146</v>
      </c>
      <c r="K41" s="24" t="s">
        <v>38</v>
      </c>
      <c r="L41" s="24"/>
      <c r="M41" s="25">
        <f t="shared" ref="M41:AP41" si="18">M31+M39</f>
        <v>49498.44</v>
      </c>
      <c r="N41" s="25">
        <f t="shared" si="18"/>
        <v>49697.544441999999</v>
      </c>
      <c r="O41" s="25">
        <f t="shared" si="18"/>
        <v>49898.426613836848</v>
      </c>
      <c r="P41" s="25">
        <f t="shared" si="18"/>
        <v>50101.101183752922</v>
      </c>
      <c r="Q41" s="25">
        <f t="shared" si="18"/>
        <v>50305.58292093702</v>
      </c>
      <c r="R41" s="25">
        <f t="shared" si="18"/>
        <v>50511.886695856701</v>
      </c>
      <c r="S41" s="25">
        <f t="shared" si="18"/>
        <v>50720.027480583907</v>
      </c>
      <c r="T41" s="25">
        <f t="shared" si="18"/>
        <v>50930.020349113591</v>
      </c>
      <c r="U41" s="25">
        <f t="shared" si="18"/>
        <v>51141.8804776752</v>
      </c>
      <c r="V41" s="25">
        <f t="shared" si="18"/>
        <v>51355.623145036734</v>
      </c>
      <c r="W41" s="25">
        <f t="shared" si="18"/>
        <v>51571.263732801148</v>
      </c>
      <c r="X41" s="25">
        <f t="shared" si="18"/>
        <v>51788.817725694869</v>
      </c>
      <c r="Y41" s="25">
        <f t="shared" si="18"/>
        <v>52008.300711848242</v>
      </c>
      <c r="Z41" s="25">
        <f t="shared" si="18"/>
        <v>52229.728383067588</v>
      </c>
      <c r="AA41" s="25">
        <f t="shared" si="18"/>
        <v>52453.116535098583</v>
      </c>
      <c r="AB41" s="25">
        <f t="shared" si="18"/>
        <v>52678.481067880923</v>
      </c>
      <c r="AC41" s="25">
        <f t="shared" si="18"/>
        <v>52905.837985793703</v>
      </c>
      <c r="AD41" s="25">
        <f t="shared" si="18"/>
        <v>53135.203397891477</v>
      </c>
      <c r="AE41" s="25">
        <f t="shared" si="18"/>
        <v>53366.59351813067</v>
      </c>
      <c r="AF41" s="25">
        <f t="shared" si="18"/>
        <v>53600.024665585937</v>
      </c>
      <c r="AG41" s="25">
        <f t="shared" si="18"/>
        <v>53835.513264656525</v>
      </c>
      <c r="AH41" s="25">
        <f t="shared" si="18"/>
        <v>54073.075845261868</v>
      </c>
      <c r="AI41" s="25">
        <f t="shared" si="18"/>
        <v>54312.729043026506</v>
      </c>
      <c r="AJ41" s="25">
        <f t="shared" si="18"/>
        <v>54554.489599453977</v>
      </c>
      <c r="AK41" s="25">
        <f t="shared" si="18"/>
        <v>54798.374362089118</v>
      </c>
      <c r="AL41" s="25">
        <f t="shared" si="18"/>
        <v>55044.400284668831</v>
      </c>
      <c r="AM41" s="25">
        <f t="shared" si="18"/>
        <v>55292.584427260677</v>
      </c>
      <c r="AN41" s="25">
        <f t="shared" si="18"/>
        <v>55542.943956389237</v>
      </c>
      <c r="AO41" s="25">
        <f t="shared" si="18"/>
        <v>55795.496145149729</v>
      </c>
      <c r="AP41" s="25">
        <f t="shared" si="18"/>
        <v>56050.258373308578</v>
      </c>
    </row>
    <row r="42" spans="1:42" x14ac:dyDescent="0.2">
      <c r="A42" s="41"/>
      <c r="B42" s="42"/>
      <c r="C42" s="49">
        <v>0</v>
      </c>
      <c r="D42" s="42" t="s">
        <v>35</v>
      </c>
      <c r="F42" s="61" t="s">
        <v>184</v>
      </c>
      <c r="G42" s="65" t="s">
        <v>147</v>
      </c>
      <c r="H42" s="76">
        <v>24.6</v>
      </c>
      <c r="I42" s="18" t="s">
        <v>157</v>
      </c>
      <c r="K42" s="24" t="s">
        <v>50</v>
      </c>
      <c r="L42" s="24"/>
      <c r="M42" s="47">
        <f t="shared" ref="M42:AP42" si="19">IF($C52="No", 0, -$C51*M41)</f>
        <v>0</v>
      </c>
      <c r="N42" s="47">
        <f t="shared" si="19"/>
        <v>0</v>
      </c>
      <c r="O42" s="47">
        <f t="shared" si="19"/>
        <v>0</v>
      </c>
      <c r="P42" s="47">
        <f t="shared" si="19"/>
        <v>0</v>
      </c>
      <c r="Q42" s="47">
        <f t="shared" si="19"/>
        <v>0</v>
      </c>
      <c r="R42" s="47">
        <f t="shared" si="19"/>
        <v>0</v>
      </c>
      <c r="S42" s="47">
        <f t="shared" si="19"/>
        <v>0</v>
      </c>
      <c r="T42" s="47">
        <f t="shared" si="19"/>
        <v>0</v>
      </c>
      <c r="U42" s="47">
        <f t="shared" si="19"/>
        <v>0</v>
      </c>
      <c r="V42" s="47">
        <f t="shared" si="19"/>
        <v>0</v>
      </c>
      <c r="W42" s="47">
        <f t="shared" si="19"/>
        <v>0</v>
      </c>
      <c r="X42" s="47">
        <f t="shared" si="19"/>
        <v>0</v>
      </c>
      <c r="Y42" s="47">
        <f t="shared" si="19"/>
        <v>0</v>
      </c>
      <c r="Z42" s="47">
        <f t="shared" si="19"/>
        <v>0</v>
      </c>
      <c r="AA42" s="47">
        <f t="shared" si="19"/>
        <v>0</v>
      </c>
      <c r="AB42" s="47">
        <f t="shared" si="19"/>
        <v>0</v>
      </c>
      <c r="AC42" s="47">
        <f t="shared" si="19"/>
        <v>0</v>
      </c>
      <c r="AD42" s="47">
        <f t="shared" si="19"/>
        <v>0</v>
      </c>
      <c r="AE42" s="47">
        <f t="shared" si="19"/>
        <v>0</v>
      </c>
      <c r="AF42" s="47">
        <f t="shared" si="19"/>
        <v>0</v>
      </c>
      <c r="AG42" s="47">
        <f t="shared" si="19"/>
        <v>0</v>
      </c>
      <c r="AH42" s="47">
        <f t="shared" si="19"/>
        <v>0</v>
      </c>
      <c r="AI42" s="47">
        <f t="shared" si="19"/>
        <v>0</v>
      </c>
      <c r="AJ42" s="47">
        <f t="shared" si="19"/>
        <v>0</v>
      </c>
      <c r="AK42" s="47">
        <f t="shared" si="19"/>
        <v>0</v>
      </c>
      <c r="AL42" s="47">
        <f t="shared" si="19"/>
        <v>0</v>
      </c>
      <c r="AM42" s="47">
        <f t="shared" si="19"/>
        <v>0</v>
      </c>
      <c r="AN42" s="47">
        <f t="shared" si="19"/>
        <v>0</v>
      </c>
      <c r="AO42" s="47">
        <f t="shared" si="19"/>
        <v>0</v>
      </c>
      <c r="AP42" s="47">
        <f t="shared" si="19"/>
        <v>0</v>
      </c>
    </row>
    <row r="43" spans="1:42" x14ac:dyDescent="0.2">
      <c r="A43" s="40" t="s">
        <v>12</v>
      </c>
      <c r="B43" s="21" t="s">
        <v>120</v>
      </c>
      <c r="C43" s="35">
        <v>19.93</v>
      </c>
      <c r="D43" s="21" t="s">
        <v>121</v>
      </c>
      <c r="F43" s="61" t="s">
        <v>185</v>
      </c>
      <c r="G43" s="65" t="s">
        <v>148</v>
      </c>
      <c r="H43" s="75">
        <v>4314</v>
      </c>
      <c r="I43" s="18" t="s">
        <v>149</v>
      </c>
      <c r="K43" s="24" t="s">
        <v>52</v>
      </c>
      <c r="L43" s="24"/>
      <c r="M43" s="25">
        <f>SUM(M41:M42)</f>
        <v>49498.44</v>
      </c>
      <c r="N43" s="25">
        <f t="shared" ref="N43:AP43" si="20">SUM(N41:N42)</f>
        <v>49697.544441999999</v>
      </c>
      <c r="O43" s="25">
        <f t="shared" si="20"/>
        <v>49898.426613836848</v>
      </c>
      <c r="P43" s="25">
        <f t="shared" si="20"/>
        <v>50101.101183752922</v>
      </c>
      <c r="Q43" s="25">
        <f t="shared" si="20"/>
        <v>50305.58292093702</v>
      </c>
      <c r="R43" s="25">
        <f t="shared" si="20"/>
        <v>50511.886695856701</v>
      </c>
      <c r="S43" s="25">
        <f t="shared" si="20"/>
        <v>50720.027480583907</v>
      </c>
      <c r="T43" s="25">
        <f t="shared" si="20"/>
        <v>50930.020349113591</v>
      </c>
      <c r="U43" s="25">
        <f t="shared" si="20"/>
        <v>51141.8804776752</v>
      </c>
      <c r="V43" s="25">
        <f t="shared" si="20"/>
        <v>51355.623145036734</v>
      </c>
      <c r="W43" s="25">
        <f t="shared" si="20"/>
        <v>51571.263732801148</v>
      </c>
      <c r="X43" s="25">
        <f t="shared" si="20"/>
        <v>51788.817725694869</v>
      </c>
      <c r="Y43" s="25">
        <f t="shared" si="20"/>
        <v>52008.300711848242</v>
      </c>
      <c r="Z43" s="25">
        <f t="shared" si="20"/>
        <v>52229.728383067588</v>
      </c>
      <c r="AA43" s="25">
        <f t="shared" si="20"/>
        <v>52453.116535098583</v>
      </c>
      <c r="AB43" s="25">
        <f t="shared" si="20"/>
        <v>52678.481067880923</v>
      </c>
      <c r="AC43" s="25">
        <f t="shared" si="20"/>
        <v>52905.837985793703</v>
      </c>
      <c r="AD43" s="25">
        <f t="shared" si="20"/>
        <v>53135.203397891477</v>
      </c>
      <c r="AE43" s="25">
        <f t="shared" si="20"/>
        <v>53366.59351813067</v>
      </c>
      <c r="AF43" s="25">
        <f t="shared" si="20"/>
        <v>53600.024665585937</v>
      </c>
      <c r="AG43" s="25">
        <f t="shared" si="20"/>
        <v>53835.513264656525</v>
      </c>
      <c r="AH43" s="25">
        <f t="shared" si="20"/>
        <v>54073.075845261868</v>
      </c>
      <c r="AI43" s="25">
        <f t="shared" si="20"/>
        <v>54312.729043026506</v>
      </c>
      <c r="AJ43" s="25">
        <f t="shared" si="20"/>
        <v>54554.489599453977</v>
      </c>
      <c r="AK43" s="25">
        <f t="shared" si="20"/>
        <v>54798.374362089118</v>
      </c>
      <c r="AL43" s="25">
        <f t="shared" si="20"/>
        <v>55044.400284668831</v>
      </c>
      <c r="AM43" s="25">
        <f t="shared" si="20"/>
        <v>55292.584427260677</v>
      </c>
      <c r="AN43" s="25">
        <f t="shared" si="20"/>
        <v>55542.943956389237</v>
      </c>
      <c r="AO43" s="25">
        <f t="shared" si="20"/>
        <v>55795.496145149729</v>
      </c>
      <c r="AP43" s="25">
        <f t="shared" si="20"/>
        <v>56050.258373308578</v>
      </c>
    </row>
    <row r="44" spans="1:42" x14ac:dyDescent="0.2">
      <c r="A44" s="40"/>
      <c r="B44" s="21" t="s">
        <v>17</v>
      </c>
      <c r="C44" s="28">
        <v>0</v>
      </c>
      <c r="D44" s="21" t="s">
        <v>18</v>
      </c>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row>
    <row r="45" spans="1:42" x14ac:dyDescent="0.2">
      <c r="A45" s="40"/>
      <c r="B45" s="21" t="s">
        <v>117</v>
      </c>
      <c r="C45" s="36">
        <v>1.4999999999999999E-2</v>
      </c>
      <c r="D45" s="21" t="s">
        <v>20</v>
      </c>
      <c r="F45" s="1"/>
      <c r="G45" s="1"/>
      <c r="K45" s="24" t="s">
        <v>53</v>
      </c>
      <c r="L45" s="24"/>
      <c r="M45" s="25">
        <f t="shared" ref="M45:AP45" si="21">-M38</f>
        <v>0</v>
      </c>
      <c r="N45" s="25">
        <f t="shared" si="21"/>
        <v>0</v>
      </c>
      <c r="O45" s="25">
        <f t="shared" si="21"/>
        <v>0</v>
      </c>
      <c r="P45" s="25">
        <f t="shared" si="21"/>
        <v>0</v>
      </c>
      <c r="Q45" s="25">
        <f t="shared" si="21"/>
        <v>0</v>
      </c>
      <c r="R45" s="25">
        <f t="shared" si="21"/>
        <v>0</v>
      </c>
      <c r="S45" s="25">
        <f t="shared" si="21"/>
        <v>0</v>
      </c>
      <c r="T45" s="25">
        <f t="shared" si="21"/>
        <v>0</v>
      </c>
      <c r="U45" s="25">
        <f t="shared" si="21"/>
        <v>0</v>
      </c>
      <c r="V45" s="25">
        <f t="shared" si="21"/>
        <v>0</v>
      </c>
      <c r="W45" s="25">
        <f t="shared" si="21"/>
        <v>0</v>
      </c>
      <c r="X45" s="25">
        <f t="shared" si="21"/>
        <v>0</v>
      </c>
      <c r="Y45" s="25">
        <f t="shared" si="21"/>
        <v>0</v>
      </c>
      <c r="Z45" s="25">
        <f t="shared" si="21"/>
        <v>0</v>
      </c>
      <c r="AA45" s="25">
        <f t="shared" si="21"/>
        <v>0</v>
      </c>
      <c r="AB45" s="25">
        <f t="shared" si="21"/>
        <v>0</v>
      </c>
      <c r="AC45" s="25">
        <f t="shared" si="21"/>
        <v>0</v>
      </c>
      <c r="AD45" s="25">
        <f t="shared" si="21"/>
        <v>0</v>
      </c>
      <c r="AE45" s="25">
        <f t="shared" si="21"/>
        <v>0</v>
      </c>
      <c r="AF45" s="25">
        <f t="shared" si="21"/>
        <v>0</v>
      </c>
      <c r="AG45" s="25">
        <f t="shared" si="21"/>
        <v>0</v>
      </c>
      <c r="AH45" s="25">
        <f t="shared" si="21"/>
        <v>0</v>
      </c>
      <c r="AI45" s="25">
        <f t="shared" si="21"/>
        <v>0</v>
      </c>
      <c r="AJ45" s="25">
        <f t="shared" si="21"/>
        <v>0</v>
      </c>
      <c r="AK45" s="25">
        <f t="shared" si="21"/>
        <v>0</v>
      </c>
      <c r="AL45" s="25">
        <f t="shared" si="21"/>
        <v>0</v>
      </c>
      <c r="AM45" s="25">
        <f t="shared" si="21"/>
        <v>0</v>
      </c>
      <c r="AN45" s="25">
        <f t="shared" si="21"/>
        <v>0</v>
      </c>
      <c r="AO45" s="25">
        <f t="shared" si="21"/>
        <v>0</v>
      </c>
      <c r="AP45" s="25">
        <f t="shared" si="21"/>
        <v>0</v>
      </c>
    </row>
    <row r="46" spans="1:42" x14ac:dyDescent="0.2">
      <c r="A46" s="40"/>
      <c r="B46" s="21" t="s">
        <v>23</v>
      </c>
      <c r="C46" s="32">
        <v>0</v>
      </c>
      <c r="D46" s="21" t="s">
        <v>24</v>
      </c>
      <c r="K46" s="24" t="s">
        <v>54</v>
      </c>
      <c r="L46" s="24"/>
      <c r="M46" s="25">
        <f t="shared" ref="M46:AP46" si="22">IF(M7&gt;$C17, 0, IF($C15="Yes", -PPMT($C18, M7, $C17, -$L20), 0))</f>
        <v>0</v>
      </c>
      <c r="N46" s="25">
        <f t="shared" si="22"/>
        <v>0</v>
      </c>
      <c r="O46" s="25">
        <f t="shared" si="22"/>
        <v>0</v>
      </c>
      <c r="P46" s="25">
        <f t="shared" si="22"/>
        <v>0</v>
      </c>
      <c r="Q46" s="25">
        <f t="shared" si="22"/>
        <v>0</v>
      </c>
      <c r="R46" s="25">
        <f t="shared" si="22"/>
        <v>0</v>
      </c>
      <c r="S46" s="25">
        <f t="shared" si="22"/>
        <v>0</v>
      </c>
      <c r="T46" s="25">
        <f t="shared" si="22"/>
        <v>0</v>
      </c>
      <c r="U46" s="25">
        <f t="shared" si="22"/>
        <v>0</v>
      </c>
      <c r="V46" s="25">
        <f t="shared" si="22"/>
        <v>0</v>
      </c>
      <c r="W46" s="25">
        <f t="shared" si="22"/>
        <v>0</v>
      </c>
      <c r="X46" s="25">
        <f t="shared" si="22"/>
        <v>0</v>
      </c>
      <c r="Y46" s="25">
        <f t="shared" si="22"/>
        <v>0</v>
      </c>
      <c r="Z46" s="25">
        <f t="shared" si="22"/>
        <v>0</v>
      </c>
      <c r="AA46" s="25">
        <f t="shared" si="22"/>
        <v>0</v>
      </c>
      <c r="AB46" s="25">
        <f t="shared" si="22"/>
        <v>0</v>
      </c>
      <c r="AC46" s="25">
        <f t="shared" si="22"/>
        <v>0</v>
      </c>
      <c r="AD46" s="25">
        <f t="shared" si="22"/>
        <v>0</v>
      </c>
      <c r="AE46" s="25">
        <f t="shared" si="22"/>
        <v>0</v>
      </c>
      <c r="AF46" s="25">
        <f t="shared" si="22"/>
        <v>0</v>
      </c>
      <c r="AG46" s="25">
        <f t="shared" si="22"/>
        <v>0</v>
      </c>
      <c r="AH46" s="25">
        <f t="shared" si="22"/>
        <v>0</v>
      </c>
      <c r="AI46" s="25">
        <f t="shared" si="22"/>
        <v>0</v>
      </c>
      <c r="AJ46" s="25">
        <f t="shared" si="22"/>
        <v>0</v>
      </c>
      <c r="AK46" s="25">
        <f t="shared" si="22"/>
        <v>0</v>
      </c>
      <c r="AL46" s="25">
        <f t="shared" si="22"/>
        <v>0</v>
      </c>
      <c r="AM46" s="25">
        <f t="shared" si="22"/>
        <v>0</v>
      </c>
      <c r="AN46" s="25">
        <f t="shared" si="22"/>
        <v>0</v>
      </c>
      <c r="AO46" s="25">
        <f t="shared" si="22"/>
        <v>0</v>
      </c>
      <c r="AP46" s="25">
        <f t="shared" si="22"/>
        <v>0</v>
      </c>
    </row>
    <row r="47" spans="1:42" x14ac:dyDescent="0.2">
      <c r="A47" s="40"/>
      <c r="B47" s="21" t="s">
        <v>21</v>
      </c>
      <c r="C47" s="38">
        <v>10</v>
      </c>
      <c r="D47" s="21" t="s">
        <v>22</v>
      </c>
      <c r="K47" s="24" t="s">
        <v>62</v>
      </c>
      <c r="L47" s="25">
        <f t="shared" ref="L47:AP47" si="23">SUM(L43:L46)+L21</f>
        <v>-400000</v>
      </c>
      <c r="M47" s="25">
        <f t="shared" si="23"/>
        <v>49498.740000000005</v>
      </c>
      <c r="N47" s="25">
        <f t="shared" si="23"/>
        <v>49697.544441999999</v>
      </c>
      <c r="O47" s="25">
        <f t="shared" si="23"/>
        <v>49898.426613836848</v>
      </c>
      <c r="P47" s="25">
        <f t="shared" si="23"/>
        <v>50101.101183752922</v>
      </c>
      <c r="Q47" s="25">
        <f t="shared" si="23"/>
        <v>50305.58292093702</v>
      </c>
      <c r="R47" s="25">
        <f t="shared" si="23"/>
        <v>50511.886695856701</v>
      </c>
      <c r="S47" s="25">
        <f t="shared" si="23"/>
        <v>50720.027480583907</v>
      </c>
      <c r="T47" s="25">
        <f t="shared" si="23"/>
        <v>50930.020349113591</v>
      </c>
      <c r="U47" s="25">
        <f t="shared" si="23"/>
        <v>51141.8804776752</v>
      </c>
      <c r="V47" s="25">
        <f t="shared" si="23"/>
        <v>51355.623145036734</v>
      </c>
      <c r="W47" s="25">
        <f t="shared" si="23"/>
        <v>51571.263732801148</v>
      </c>
      <c r="X47" s="25">
        <f t="shared" si="23"/>
        <v>51788.817725694869</v>
      </c>
      <c r="Y47" s="25">
        <f t="shared" si="23"/>
        <v>52008.300711848242</v>
      </c>
      <c r="Z47" s="25">
        <f t="shared" si="23"/>
        <v>52229.728383067588</v>
      </c>
      <c r="AA47" s="25">
        <f t="shared" si="23"/>
        <v>52453.116535098583</v>
      </c>
      <c r="AB47" s="25">
        <f t="shared" si="23"/>
        <v>52678.481067880923</v>
      </c>
      <c r="AC47" s="25">
        <f t="shared" si="23"/>
        <v>52905.837985793703</v>
      </c>
      <c r="AD47" s="25">
        <f t="shared" si="23"/>
        <v>53135.203397891477</v>
      </c>
      <c r="AE47" s="25">
        <f t="shared" si="23"/>
        <v>53366.59351813067</v>
      </c>
      <c r="AF47" s="25">
        <f t="shared" si="23"/>
        <v>53600.024665585937</v>
      </c>
      <c r="AG47" s="25">
        <f t="shared" si="23"/>
        <v>53835.513264656525</v>
      </c>
      <c r="AH47" s="25">
        <f t="shared" si="23"/>
        <v>54073.075845261868</v>
      </c>
      <c r="AI47" s="25">
        <f t="shared" si="23"/>
        <v>54312.729043026506</v>
      </c>
      <c r="AJ47" s="25">
        <f t="shared" si="23"/>
        <v>54554.489599453977</v>
      </c>
      <c r="AK47" s="25">
        <f t="shared" si="23"/>
        <v>54798.374362089118</v>
      </c>
      <c r="AL47" s="25">
        <f t="shared" si="23"/>
        <v>55044.400284668831</v>
      </c>
      <c r="AM47" s="25">
        <f t="shared" si="23"/>
        <v>55292.584427260677</v>
      </c>
      <c r="AN47" s="25">
        <f t="shared" si="23"/>
        <v>55542.943956389237</v>
      </c>
      <c r="AO47" s="25">
        <f t="shared" si="23"/>
        <v>55795.496145149729</v>
      </c>
      <c r="AP47" s="25">
        <f t="shared" si="23"/>
        <v>56050.258373308578</v>
      </c>
    </row>
    <row r="48" spans="1:42" x14ac:dyDescent="0.2">
      <c r="A48" s="41"/>
      <c r="B48" s="42" t="s">
        <v>19</v>
      </c>
      <c r="C48" s="53">
        <v>-0.03</v>
      </c>
      <c r="D48" s="42" t="s">
        <v>20</v>
      </c>
      <c r="H48" s="6"/>
      <c r="K48" s="24" t="s">
        <v>39</v>
      </c>
      <c r="L48" s="25">
        <f>SUM($L47:L47)</f>
        <v>-400000</v>
      </c>
      <c r="M48" s="25">
        <f>SUM($L47:M47)</f>
        <v>-350501.26</v>
      </c>
      <c r="N48" s="25">
        <f>SUM($L47:N47)</f>
        <v>-300803.71555800003</v>
      </c>
      <c r="O48" s="25">
        <f>SUM($L47:O47)</f>
        <v>-250905.28894416319</v>
      </c>
      <c r="P48" s="25">
        <f>SUM($L47:P47)</f>
        <v>-200804.18776041025</v>
      </c>
      <c r="Q48" s="25">
        <f>SUM($L47:Q47)</f>
        <v>-150498.60483947324</v>
      </c>
      <c r="R48" s="25">
        <f>SUM($L47:R47)</f>
        <v>-99986.718143616541</v>
      </c>
      <c r="S48" s="25">
        <f>SUM($L47:S47)</f>
        <v>-49266.690663032634</v>
      </c>
      <c r="T48" s="25">
        <f>SUM($L47:T47)</f>
        <v>1663.3296860809569</v>
      </c>
      <c r="U48" s="25">
        <f>SUM($L47:U47)</f>
        <v>52805.210163756157</v>
      </c>
      <c r="V48" s="25">
        <f>SUM($L47:V47)</f>
        <v>104160.83330879289</v>
      </c>
      <c r="W48" s="25">
        <f>SUM($L47:W47)</f>
        <v>155732.09704159404</v>
      </c>
      <c r="X48" s="25">
        <f>SUM($L47:X47)</f>
        <v>207520.91476728889</v>
      </c>
      <c r="Y48" s="25">
        <f>SUM($L47:Y47)</f>
        <v>259529.21547913714</v>
      </c>
      <c r="Z48" s="25">
        <f>SUM($L47:Z47)</f>
        <v>311758.94386220473</v>
      </c>
      <c r="AA48" s="25">
        <f>SUM($L47:AA47)</f>
        <v>364212.06039730331</v>
      </c>
      <c r="AB48" s="25">
        <f>SUM($L47:AB47)</f>
        <v>416890.54146518424</v>
      </c>
      <c r="AC48" s="25">
        <f>SUM($L47:AC47)</f>
        <v>469796.37945097795</v>
      </c>
      <c r="AD48" s="25">
        <f>SUM($L47:AD47)</f>
        <v>522931.58284886944</v>
      </c>
      <c r="AE48" s="25">
        <f>SUM($L47:AE47)</f>
        <v>576298.17636700009</v>
      </c>
      <c r="AF48" s="25">
        <f>SUM($L47:AF47)</f>
        <v>629898.20103258605</v>
      </c>
      <c r="AG48" s="25">
        <f>SUM($L47:AG47)</f>
        <v>683733.71429724258</v>
      </c>
      <c r="AH48" s="25">
        <f>SUM($L47:AH47)</f>
        <v>737806.7901425045</v>
      </c>
      <c r="AI48" s="25">
        <f>SUM($L47:AI47)</f>
        <v>792119.51918553095</v>
      </c>
      <c r="AJ48" s="25">
        <f>SUM($L47:AJ47)</f>
        <v>846674.00878498494</v>
      </c>
      <c r="AK48" s="25">
        <f>SUM($L47:AK47)</f>
        <v>901472.38314707403</v>
      </c>
      <c r="AL48" s="25">
        <f>SUM($L47:AL47)</f>
        <v>956516.78343174281</v>
      </c>
      <c r="AM48" s="25">
        <f>SUM($L47:AM47)</f>
        <v>1011809.3678590035</v>
      </c>
      <c r="AN48" s="25">
        <f>SUM($L47:AN47)</f>
        <v>1067352.3118153927</v>
      </c>
      <c r="AO48" s="25">
        <f>SUM($L47:AO47)</f>
        <v>1123147.8079605424</v>
      </c>
      <c r="AP48" s="25">
        <f>SUM($L47:AP47)</f>
        <v>1179198.0663338508</v>
      </c>
    </row>
    <row r="49" spans="1:42" x14ac:dyDescent="0.2">
      <c r="A49" s="40" t="s">
        <v>110</v>
      </c>
      <c r="B49" s="21" t="s">
        <v>30</v>
      </c>
      <c r="C49" s="31" t="s">
        <v>65</v>
      </c>
      <c r="D49" s="21" t="s">
        <v>41</v>
      </c>
      <c r="H49" s="6"/>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row>
    <row r="50" spans="1:42" x14ac:dyDescent="0.2">
      <c r="A50" s="41"/>
      <c r="B50" s="42" t="s">
        <v>31</v>
      </c>
      <c r="C50" s="49">
        <f>-L12</f>
        <v>550000</v>
      </c>
      <c r="D50" s="42" t="s">
        <v>3</v>
      </c>
      <c r="K50" s="24"/>
      <c r="L50" s="91"/>
      <c r="M50" s="24" t="str">
        <f t="shared" ref="M50:AP50" si="24">IF(M48&gt;0,M7,"")</f>
        <v/>
      </c>
      <c r="N50" s="24" t="str">
        <f t="shared" si="24"/>
        <v/>
      </c>
      <c r="O50" s="24" t="str">
        <f t="shared" si="24"/>
        <v/>
      </c>
      <c r="P50" s="24" t="str">
        <f t="shared" si="24"/>
        <v/>
      </c>
      <c r="Q50" s="24" t="str">
        <f t="shared" si="24"/>
        <v/>
      </c>
      <c r="R50" s="24" t="str">
        <f t="shared" si="24"/>
        <v/>
      </c>
      <c r="S50" s="24" t="str">
        <f t="shared" si="24"/>
        <v/>
      </c>
      <c r="T50" s="24">
        <f>IF(T48&gt;0,T7,"")</f>
        <v>8</v>
      </c>
      <c r="U50" s="24">
        <f t="shared" si="24"/>
        <v>9</v>
      </c>
      <c r="V50" s="24">
        <f t="shared" si="24"/>
        <v>10</v>
      </c>
      <c r="W50" s="24">
        <f t="shared" si="24"/>
        <v>11</v>
      </c>
      <c r="X50" s="24">
        <f t="shared" si="24"/>
        <v>12</v>
      </c>
      <c r="Y50" s="24">
        <f t="shared" si="24"/>
        <v>13</v>
      </c>
      <c r="Z50" s="24">
        <f t="shared" si="24"/>
        <v>14</v>
      </c>
      <c r="AA50" s="24">
        <f t="shared" si="24"/>
        <v>15</v>
      </c>
      <c r="AB50" s="24">
        <f t="shared" si="24"/>
        <v>16</v>
      </c>
      <c r="AC50" s="24">
        <f t="shared" si="24"/>
        <v>17</v>
      </c>
      <c r="AD50" s="24">
        <f t="shared" si="24"/>
        <v>18</v>
      </c>
      <c r="AE50" s="24">
        <f t="shared" si="24"/>
        <v>19</v>
      </c>
      <c r="AF50" s="24">
        <f t="shared" si="24"/>
        <v>20</v>
      </c>
      <c r="AG50" s="24">
        <f t="shared" si="24"/>
        <v>21</v>
      </c>
      <c r="AH50" s="24">
        <f t="shared" si="24"/>
        <v>22</v>
      </c>
      <c r="AI50" s="24">
        <f t="shared" si="24"/>
        <v>23</v>
      </c>
      <c r="AJ50" s="24">
        <f t="shared" si="24"/>
        <v>24</v>
      </c>
      <c r="AK50" s="24">
        <f t="shared" si="24"/>
        <v>25</v>
      </c>
      <c r="AL50" s="24">
        <f t="shared" si="24"/>
        <v>26</v>
      </c>
      <c r="AM50" s="24">
        <f t="shared" si="24"/>
        <v>27</v>
      </c>
      <c r="AN50" s="24">
        <f t="shared" si="24"/>
        <v>28</v>
      </c>
      <c r="AO50" s="24">
        <f t="shared" si="24"/>
        <v>29</v>
      </c>
      <c r="AP50" s="24">
        <f t="shared" si="24"/>
        <v>30</v>
      </c>
    </row>
    <row r="51" spans="1:42" x14ac:dyDescent="0.2">
      <c r="A51" s="40" t="s">
        <v>111</v>
      </c>
      <c r="B51" s="21" t="s">
        <v>51</v>
      </c>
      <c r="C51" s="32">
        <v>0</v>
      </c>
      <c r="D51" s="21" t="s">
        <v>6</v>
      </c>
    </row>
    <row r="52" spans="1:42" x14ac:dyDescent="0.2">
      <c r="A52" s="41"/>
      <c r="B52" s="42" t="s">
        <v>88</v>
      </c>
      <c r="C52" s="51" t="s">
        <v>64</v>
      </c>
      <c r="D52" s="42" t="s">
        <v>47</v>
      </c>
    </row>
    <row r="53" spans="1:42" ht="15" x14ac:dyDescent="0.25">
      <c r="A53" s="43" t="s">
        <v>112</v>
      </c>
      <c r="B53" s="42" t="s">
        <v>113</v>
      </c>
      <c r="C53" s="55">
        <v>0.04</v>
      </c>
      <c r="D53" s="42" t="s">
        <v>6</v>
      </c>
      <c r="F53" s="9"/>
      <c r="G53" s="9"/>
      <c r="H53" s="9"/>
      <c r="I53" s="9"/>
    </row>
    <row r="54" spans="1:42" ht="15" x14ac:dyDescent="0.25">
      <c r="A54" s="110" t="s">
        <v>163</v>
      </c>
      <c r="B54" s="21" t="s">
        <v>127</v>
      </c>
      <c r="C54" s="22" t="s">
        <v>128</v>
      </c>
      <c r="D54" s="21"/>
      <c r="F54" s="9"/>
      <c r="G54" s="9"/>
      <c r="H54" s="9"/>
      <c r="I54" s="9"/>
    </row>
    <row r="55" spans="1:42" ht="15" x14ac:dyDescent="0.25">
      <c r="A55" s="40" t="s">
        <v>164</v>
      </c>
      <c r="B55" s="21" t="s">
        <v>129</v>
      </c>
      <c r="C55" s="75">
        <v>19551</v>
      </c>
      <c r="D55" s="44" t="s">
        <v>58</v>
      </c>
      <c r="F55" s="9"/>
      <c r="G55" s="9"/>
      <c r="H55" s="9"/>
      <c r="I55" s="9"/>
    </row>
    <row r="56" spans="1:42" ht="15" x14ac:dyDescent="0.25">
      <c r="A56" s="40" t="s">
        <v>125</v>
      </c>
      <c r="B56" s="21" t="s">
        <v>130</v>
      </c>
      <c r="C56" s="75">
        <v>20108</v>
      </c>
      <c r="D56" s="44" t="s">
        <v>58</v>
      </c>
      <c r="F56" s="9"/>
      <c r="G56" s="9"/>
      <c r="H56" s="9"/>
      <c r="I56" s="9"/>
    </row>
    <row r="57" spans="1:42" ht="15" x14ac:dyDescent="0.25">
      <c r="A57" s="40"/>
      <c r="B57" s="45" t="s">
        <v>131</v>
      </c>
      <c r="C57" s="75">
        <v>26105</v>
      </c>
      <c r="D57" s="44" t="s">
        <v>58</v>
      </c>
      <c r="F57" s="9"/>
      <c r="G57" s="9"/>
      <c r="H57" s="9"/>
      <c r="I57" s="9"/>
    </row>
    <row r="58" spans="1:42" ht="15" x14ac:dyDescent="0.25">
      <c r="A58" s="40"/>
      <c r="B58" s="45" t="s">
        <v>132</v>
      </c>
      <c r="C58" s="75">
        <v>28000</v>
      </c>
      <c r="D58" s="44" t="s">
        <v>58</v>
      </c>
      <c r="F58" s="9"/>
      <c r="G58" s="9"/>
      <c r="H58" s="9"/>
      <c r="I58" s="9"/>
    </row>
    <row r="59" spans="1:42" ht="15" x14ac:dyDescent="0.25">
      <c r="A59" s="40"/>
      <c r="B59" s="45" t="s">
        <v>133</v>
      </c>
      <c r="C59" s="75">
        <v>29849</v>
      </c>
      <c r="D59" s="44" t="s">
        <v>58</v>
      </c>
      <c r="F59" s="9"/>
      <c r="G59" s="9"/>
      <c r="H59" s="9"/>
      <c r="I59" s="9"/>
    </row>
    <row r="60" spans="1:42" ht="15" x14ac:dyDescent="0.25">
      <c r="A60" s="40"/>
      <c r="B60" s="45" t="s">
        <v>134</v>
      </c>
      <c r="C60" s="75">
        <v>29757</v>
      </c>
      <c r="D60" s="44" t="s">
        <v>58</v>
      </c>
      <c r="F60" s="9"/>
      <c r="G60" s="9"/>
      <c r="H60" s="9"/>
      <c r="I60" s="9"/>
      <c r="K60" s="5"/>
      <c r="N60" s="4"/>
      <c r="O60" s="5"/>
    </row>
    <row r="61" spans="1:42" ht="15" x14ac:dyDescent="0.25">
      <c r="A61" s="40"/>
      <c r="B61" s="45" t="s">
        <v>135</v>
      </c>
      <c r="C61" s="75">
        <v>30518</v>
      </c>
      <c r="D61" s="44" t="s">
        <v>58</v>
      </c>
      <c r="F61" s="9"/>
      <c r="G61" s="9"/>
      <c r="H61" s="9"/>
      <c r="I61" s="9"/>
      <c r="N61" s="4"/>
      <c r="O61" s="5"/>
    </row>
    <row r="62" spans="1:42" ht="15" x14ac:dyDescent="0.25">
      <c r="A62" s="40"/>
      <c r="B62" s="45" t="s">
        <v>136</v>
      </c>
      <c r="C62" s="75">
        <v>28990</v>
      </c>
      <c r="D62" s="44" t="s">
        <v>58</v>
      </c>
      <c r="F62" s="9"/>
      <c r="G62" s="9"/>
      <c r="H62" s="9"/>
      <c r="I62" s="9"/>
      <c r="K62" s="7"/>
      <c r="L62" s="8"/>
      <c r="N62" s="4"/>
      <c r="O62" s="5"/>
    </row>
    <row r="63" spans="1:42" ht="15" x14ac:dyDescent="0.25">
      <c r="A63" s="40"/>
      <c r="B63" s="45" t="s">
        <v>137</v>
      </c>
      <c r="C63" s="75">
        <v>25110</v>
      </c>
      <c r="D63" s="44" t="s">
        <v>58</v>
      </c>
      <c r="F63" s="9"/>
      <c r="G63" s="9"/>
      <c r="H63" s="9"/>
      <c r="I63" s="9"/>
      <c r="K63" s="7"/>
      <c r="L63" s="8"/>
      <c r="N63" s="4"/>
      <c r="O63" s="5"/>
    </row>
    <row r="64" spans="1:42" ht="15" x14ac:dyDescent="0.25">
      <c r="A64" s="40"/>
      <c r="B64" s="45" t="s">
        <v>138</v>
      </c>
      <c r="C64" s="75">
        <v>24498</v>
      </c>
      <c r="D64" s="44" t="s">
        <v>58</v>
      </c>
      <c r="F64" s="9"/>
      <c r="G64" s="9"/>
      <c r="H64" s="9"/>
      <c r="I64" s="9"/>
      <c r="J64" s="9"/>
      <c r="K64" s="7"/>
      <c r="L64" s="8"/>
      <c r="N64" s="4"/>
      <c r="O64" s="5"/>
    </row>
    <row r="65" spans="1:15" ht="15" x14ac:dyDescent="0.25">
      <c r="A65" s="40"/>
      <c r="B65" s="45" t="s">
        <v>139</v>
      </c>
      <c r="C65" s="75">
        <v>19258</v>
      </c>
      <c r="D65" s="44" t="s">
        <v>58</v>
      </c>
      <c r="F65" s="9"/>
      <c r="G65" s="9"/>
      <c r="H65" s="9"/>
      <c r="I65" s="9"/>
      <c r="J65" s="9"/>
      <c r="K65" s="7"/>
      <c r="L65" s="8"/>
      <c r="N65" s="4"/>
      <c r="O65" s="5"/>
    </row>
    <row r="66" spans="1:15" ht="15" x14ac:dyDescent="0.25">
      <c r="A66" s="40"/>
      <c r="B66" s="45" t="s">
        <v>140</v>
      </c>
      <c r="C66" s="80">
        <v>18249</v>
      </c>
      <c r="D66" s="44" t="s">
        <v>58</v>
      </c>
      <c r="F66" s="9"/>
      <c r="G66" s="9"/>
      <c r="H66" s="9"/>
      <c r="I66" s="9"/>
      <c r="J66" s="9"/>
      <c r="K66" s="7"/>
      <c r="L66" s="8"/>
      <c r="N66" s="4"/>
      <c r="O66" s="5"/>
    </row>
    <row r="67" spans="1:15" ht="15" x14ac:dyDescent="0.25">
      <c r="A67" s="40"/>
      <c r="B67" s="45" t="s">
        <v>141</v>
      </c>
      <c r="C67" s="75">
        <v>299993</v>
      </c>
      <c r="D67" s="44" t="s">
        <v>58</v>
      </c>
      <c r="J67" s="9"/>
      <c r="K67" s="7"/>
      <c r="L67" s="8"/>
      <c r="N67" s="4"/>
      <c r="O67" s="5"/>
    </row>
    <row r="68" spans="1:15" ht="15" x14ac:dyDescent="0.25">
      <c r="J68" s="9"/>
      <c r="K68" s="7"/>
      <c r="L68" s="8"/>
      <c r="N68" s="4"/>
      <c r="O68" s="5"/>
    </row>
    <row r="69" spans="1:15" ht="15" x14ac:dyDescent="0.25">
      <c r="J69" s="9"/>
      <c r="K69" s="7"/>
      <c r="L69" s="8"/>
      <c r="N69" s="4"/>
      <c r="O69" s="5"/>
    </row>
    <row r="70" spans="1:15" ht="15" x14ac:dyDescent="0.25">
      <c r="J70" s="9"/>
      <c r="K70" s="7"/>
      <c r="L70" s="8"/>
      <c r="N70" s="4"/>
      <c r="O70" s="5"/>
    </row>
    <row r="71" spans="1:15" ht="15" x14ac:dyDescent="0.25">
      <c r="J71" s="9"/>
      <c r="K71" s="7"/>
      <c r="L71" s="8"/>
      <c r="M71" s="8"/>
    </row>
    <row r="72" spans="1:15" ht="15" x14ac:dyDescent="0.25">
      <c r="J72" s="9"/>
      <c r="K72" s="7"/>
      <c r="L72" s="8"/>
      <c r="M72" s="8"/>
    </row>
    <row r="73" spans="1:15" ht="15" x14ac:dyDescent="0.25">
      <c r="J73" s="9"/>
      <c r="K73" s="7"/>
      <c r="L73" s="8"/>
      <c r="M73" s="8"/>
    </row>
    <row r="74" spans="1:15" ht="15" x14ac:dyDescent="0.25">
      <c r="J74" s="9"/>
      <c r="K74" s="7"/>
      <c r="L74" s="8"/>
      <c r="M74" s="8"/>
    </row>
    <row r="75" spans="1:15" ht="15" x14ac:dyDescent="0.25">
      <c r="J75" s="9"/>
      <c r="K75" s="7"/>
      <c r="L75" s="8"/>
      <c r="M75" s="8"/>
    </row>
    <row r="76" spans="1:15" ht="15" x14ac:dyDescent="0.25">
      <c r="J76" s="9"/>
      <c r="K76" s="7"/>
      <c r="L76" s="8"/>
      <c r="M76" s="8"/>
    </row>
    <row r="77" spans="1:15" ht="15" x14ac:dyDescent="0.25">
      <c r="J77" s="9"/>
      <c r="K77" s="7"/>
      <c r="L77" s="8"/>
      <c r="M77" s="8"/>
    </row>
    <row r="78" spans="1:15" x14ac:dyDescent="0.2">
      <c r="K78" s="7"/>
      <c r="L78" s="8"/>
      <c r="M78" s="8"/>
    </row>
    <row r="79" spans="1:15" x14ac:dyDescent="0.2">
      <c r="K79" s="7"/>
      <c r="L79" s="8"/>
      <c r="M79" s="8"/>
    </row>
  </sheetData>
  <hyperlinks>
    <hyperlink ref="F40" r:id="rId1"/>
    <hyperlink ref="F34" r:id="rId2"/>
    <hyperlink ref="F26" r:id="rId3" display="(from NREL JEDI model) "/>
    <hyperlink ref="B39" r:id="rId4"/>
    <hyperlink ref="A54" r:id="rId5"/>
  </hyperlinks>
  <pageMargins left="0.7" right="0.7" top="0.75" bottom="0.75" header="0.3" footer="0.3"/>
  <pageSetup orientation="portrait" r:id="rId6"/>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9"/>
  <sheetViews>
    <sheetView zoomScaleNormal="100" workbookViewId="0">
      <selection activeCell="A9" sqref="A9"/>
    </sheetView>
  </sheetViews>
  <sheetFormatPr defaultColWidth="9.140625" defaultRowHeight="12.75" x14ac:dyDescent="0.2"/>
  <cols>
    <col min="1" max="1" width="14.42578125" style="2" customWidth="1"/>
    <col min="2" max="2" width="28" style="2" customWidth="1"/>
    <col min="3" max="3" width="11" style="2" bestFit="1" customWidth="1"/>
    <col min="4" max="4" width="17.42578125" style="2" bestFit="1" customWidth="1"/>
    <col min="5" max="5" width="7.28515625" style="2" customWidth="1"/>
    <col min="6" max="6" width="12.7109375" style="2" customWidth="1"/>
    <col min="7" max="7" width="18" style="2" customWidth="1"/>
    <col min="8" max="8" width="12.7109375" style="2" customWidth="1"/>
    <col min="9" max="9" width="29.42578125" style="2" customWidth="1"/>
    <col min="10" max="10" width="8.85546875" style="2" customWidth="1"/>
    <col min="11" max="11" width="22.5703125" style="2" customWidth="1"/>
    <col min="12" max="12" width="10.5703125" style="2" customWidth="1"/>
    <col min="13" max="42" width="11.5703125" style="2" customWidth="1"/>
    <col min="43" max="16384" width="9.140625" style="2"/>
  </cols>
  <sheetData>
    <row r="1" spans="1:42" ht="26.25" x14ac:dyDescent="0.4">
      <c r="A1" s="79" t="s">
        <v>186</v>
      </c>
      <c r="D1" s="3"/>
      <c r="E1" s="3"/>
      <c r="F1" s="3"/>
      <c r="G1" s="3"/>
      <c r="H1" s="3"/>
    </row>
    <row r="2" spans="1:42" ht="21" x14ac:dyDescent="0.35">
      <c r="A2" s="56" t="s">
        <v>212</v>
      </c>
      <c r="D2" s="3"/>
      <c r="E2" s="3"/>
      <c r="F2" s="3"/>
      <c r="G2" s="3"/>
      <c r="H2" s="3"/>
    </row>
    <row r="3" spans="1:42" ht="10.5" customHeight="1" x14ac:dyDescent="0.35">
      <c r="A3" s="17"/>
      <c r="D3" s="3"/>
      <c r="E3" s="3"/>
      <c r="F3" s="3"/>
      <c r="G3" s="3"/>
      <c r="H3" s="3"/>
    </row>
    <row r="4" spans="1:42" ht="21" x14ac:dyDescent="0.35">
      <c r="A4" s="57" t="s">
        <v>187</v>
      </c>
      <c r="B4" s="57"/>
      <c r="C4" s="57"/>
      <c r="D4" s="57"/>
      <c r="E4" s="12"/>
      <c r="F4" s="57" t="s">
        <v>188</v>
      </c>
      <c r="G4" s="57"/>
      <c r="H4" s="12"/>
      <c r="I4" s="11"/>
      <c r="J4" s="11"/>
      <c r="K4" s="57" t="s">
        <v>189</v>
      </c>
    </row>
    <row r="5" spans="1:42" ht="15.75" x14ac:dyDescent="0.25">
      <c r="A5" s="16" t="s">
        <v>104</v>
      </c>
      <c r="B5" s="16" t="s">
        <v>167</v>
      </c>
      <c r="C5" s="16" t="s">
        <v>1</v>
      </c>
      <c r="D5" s="16" t="s">
        <v>2</v>
      </c>
      <c r="E5" s="14"/>
      <c r="F5" s="13" t="s">
        <v>104</v>
      </c>
      <c r="G5" s="13" t="s">
        <v>167</v>
      </c>
      <c r="H5" s="13" t="s">
        <v>1</v>
      </c>
      <c r="I5" s="13" t="s">
        <v>2</v>
      </c>
      <c r="J5" s="15"/>
    </row>
    <row r="6" spans="1:42" ht="12.75" customHeight="1" x14ac:dyDescent="0.25">
      <c r="A6" s="39" t="s">
        <v>101</v>
      </c>
      <c r="B6" s="21" t="s">
        <v>76</v>
      </c>
      <c r="C6" s="27">
        <v>200</v>
      </c>
      <c r="D6" s="21" t="s">
        <v>0</v>
      </c>
      <c r="F6" s="18" t="s">
        <v>119</v>
      </c>
      <c r="G6" s="58"/>
      <c r="H6" s="58"/>
      <c r="I6" s="58"/>
      <c r="K6" s="81"/>
      <c r="L6" s="82"/>
      <c r="M6" s="83" t="s">
        <v>4</v>
      </c>
      <c r="N6" s="84" t="s">
        <v>5</v>
      </c>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ht="12.75" customHeight="1" x14ac:dyDescent="0.25">
      <c r="A7" s="40"/>
      <c r="B7" s="21" t="s">
        <v>78</v>
      </c>
      <c r="C7" s="28">
        <f>6.6*4</f>
        <v>26.4</v>
      </c>
      <c r="D7" s="21" t="s">
        <v>59</v>
      </c>
      <c r="F7" s="59" t="s">
        <v>177</v>
      </c>
      <c r="G7" s="60"/>
      <c r="H7" s="60"/>
      <c r="I7" s="60"/>
      <c r="K7" s="85"/>
      <c r="L7" s="86">
        <v>0</v>
      </c>
      <c r="M7" s="87">
        <v>1</v>
      </c>
      <c r="N7" s="87">
        <v>2</v>
      </c>
      <c r="O7" s="87">
        <v>3</v>
      </c>
      <c r="P7" s="87">
        <v>4</v>
      </c>
      <c r="Q7" s="87">
        <v>5</v>
      </c>
      <c r="R7" s="87">
        <v>6</v>
      </c>
      <c r="S7" s="87">
        <v>7</v>
      </c>
      <c r="T7" s="87">
        <v>8</v>
      </c>
      <c r="U7" s="87">
        <v>9</v>
      </c>
      <c r="V7" s="87">
        <v>10</v>
      </c>
      <c r="W7" s="87">
        <v>11</v>
      </c>
      <c r="X7" s="87">
        <v>12</v>
      </c>
      <c r="Y7" s="87">
        <v>13</v>
      </c>
      <c r="Z7" s="87">
        <v>14</v>
      </c>
      <c r="AA7" s="87">
        <v>15</v>
      </c>
      <c r="AB7" s="87">
        <v>16</v>
      </c>
      <c r="AC7" s="87">
        <v>17</v>
      </c>
      <c r="AD7" s="87">
        <v>18</v>
      </c>
      <c r="AE7" s="87">
        <v>19</v>
      </c>
      <c r="AF7" s="87">
        <v>20</v>
      </c>
      <c r="AG7" s="87">
        <v>21</v>
      </c>
      <c r="AH7" s="87">
        <v>22</v>
      </c>
      <c r="AI7" s="87">
        <v>23</v>
      </c>
      <c r="AJ7" s="87">
        <v>24</v>
      </c>
      <c r="AK7" s="87">
        <v>25</v>
      </c>
      <c r="AL7" s="87">
        <v>26</v>
      </c>
      <c r="AM7" s="87">
        <v>27</v>
      </c>
      <c r="AN7" s="87">
        <v>28</v>
      </c>
      <c r="AO7" s="87">
        <v>29</v>
      </c>
      <c r="AP7" s="87">
        <v>30</v>
      </c>
    </row>
    <row r="8" spans="1:42" ht="12.75" customHeight="1" x14ac:dyDescent="0.2">
      <c r="A8" s="41"/>
      <c r="B8" s="42" t="s">
        <v>78</v>
      </c>
      <c r="C8" s="48">
        <f>6.4*4</f>
        <v>25.6</v>
      </c>
      <c r="D8" s="42" t="s">
        <v>58</v>
      </c>
      <c r="F8" s="61" t="s">
        <v>168</v>
      </c>
      <c r="G8" s="18" t="s">
        <v>55</v>
      </c>
      <c r="H8" s="62">
        <f>IFERROR(IRR(L47:AF47), "NA")</f>
        <v>2.5212910980233927E-2</v>
      </c>
      <c r="I8" s="18" t="s">
        <v>6</v>
      </c>
      <c r="K8" s="24" t="s">
        <v>92</v>
      </c>
      <c r="L8" s="24"/>
      <c r="M8" s="23">
        <f t="shared" ref="M8:AP8" si="0">$C21*(1-$C$22)^L$7</f>
        <v>299993</v>
      </c>
      <c r="N8" s="23">
        <f t="shared" si="0"/>
        <v>298493.03499999997</v>
      </c>
      <c r="O8" s="23">
        <f t="shared" si="0"/>
        <v>297000.56982500001</v>
      </c>
      <c r="P8" s="23">
        <f t="shared" si="0"/>
        <v>295515.566975875</v>
      </c>
      <c r="Q8" s="23">
        <f t="shared" si="0"/>
        <v>294037.98914099566</v>
      </c>
      <c r="R8" s="23">
        <f t="shared" si="0"/>
        <v>292567.79919529066</v>
      </c>
      <c r="S8" s="23">
        <f t="shared" si="0"/>
        <v>291104.96019931423</v>
      </c>
      <c r="T8" s="23">
        <f t="shared" si="0"/>
        <v>289649.43539831764</v>
      </c>
      <c r="U8" s="23">
        <f t="shared" si="0"/>
        <v>288201.18822132604</v>
      </c>
      <c r="V8" s="23">
        <f t="shared" si="0"/>
        <v>286760.18228021939</v>
      </c>
      <c r="W8" s="23">
        <f t="shared" si="0"/>
        <v>285326.38136881834</v>
      </c>
      <c r="X8" s="23">
        <f t="shared" si="0"/>
        <v>283899.74946197425</v>
      </c>
      <c r="Y8" s="23">
        <f t="shared" si="0"/>
        <v>282480.25071466441</v>
      </c>
      <c r="Z8" s="23">
        <f t="shared" si="0"/>
        <v>281067.8494610911</v>
      </c>
      <c r="AA8" s="23">
        <f t="shared" si="0"/>
        <v>279662.51021378563</v>
      </c>
      <c r="AB8" s="23">
        <f t="shared" si="0"/>
        <v>278264.19766271667</v>
      </c>
      <c r="AC8" s="23">
        <f t="shared" si="0"/>
        <v>276872.87667440309</v>
      </c>
      <c r="AD8" s="23">
        <f t="shared" si="0"/>
        <v>275488.51229103107</v>
      </c>
      <c r="AE8" s="23">
        <f t="shared" si="0"/>
        <v>274111.06972957595</v>
      </c>
      <c r="AF8" s="23">
        <f t="shared" si="0"/>
        <v>272740.51438092801</v>
      </c>
      <c r="AG8" s="23">
        <f t="shared" si="0"/>
        <v>271376.81180902343</v>
      </c>
      <c r="AH8" s="23">
        <f t="shared" si="0"/>
        <v>270019.92774997832</v>
      </c>
      <c r="AI8" s="23">
        <f t="shared" si="0"/>
        <v>268669.82811122842</v>
      </c>
      <c r="AJ8" s="23">
        <f t="shared" si="0"/>
        <v>267326.47897067224</v>
      </c>
      <c r="AK8" s="23">
        <f t="shared" si="0"/>
        <v>265989.8465758189</v>
      </c>
      <c r="AL8" s="23">
        <f t="shared" si="0"/>
        <v>264659.8973429398</v>
      </c>
      <c r="AM8" s="23">
        <f t="shared" si="0"/>
        <v>263336.59785622515</v>
      </c>
      <c r="AN8" s="23">
        <f t="shared" si="0"/>
        <v>262019.91486694396</v>
      </c>
      <c r="AO8" s="23">
        <f t="shared" si="0"/>
        <v>260709.8152926093</v>
      </c>
      <c r="AP8" s="23">
        <f t="shared" si="0"/>
        <v>259406.26621614626</v>
      </c>
    </row>
    <row r="9" spans="1:42" x14ac:dyDescent="0.2">
      <c r="A9" s="40" t="s">
        <v>102</v>
      </c>
      <c r="B9" s="21" t="s">
        <v>80</v>
      </c>
      <c r="C9" s="29">
        <f>2.5*C6*1000</f>
        <v>500000</v>
      </c>
      <c r="D9" s="21" t="s">
        <v>3</v>
      </c>
      <c r="F9" s="61" t="s">
        <v>169</v>
      </c>
      <c r="G9" s="18" t="s">
        <v>40</v>
      </c>
      <c r="H9" s="20">
        <f>IF(MIN(K50:AD50)&gt;19, "20+",MIN(K50:AD50))</f>
        <v>16</v>
      </c>
      <c r="I9" s="18" t="s">
        <v>70</v>
      </c>
      <c r="K9" s="24" t="s">
        <v>25</v>
      </c>
      <c r="L9" s="24"/>
      <c r="M9" s="23">
        <f t="shared" ref="M9:AP9" si="1">M8*(1-$C23)</f>
        <v>269993.7</v>
      </c>
      <c r="N9" s="23">
        <f t="shared" si="1"/>
        <v>268643.73149999999</v>
      </c>
      <c r="O9" s="23">
        <f t="shared" si="1"/>
        <v>267300.5128425</v>
      </c>
      <c r="P9" s="23">
        <f t="shared" si="1"/>
        <v>265964.01027828752</v>
      </c>
      <c r="Q9" s="23">
        <f t="shared" si="1"/>
        <v>264634.19022689608</v>
      </c>
      <c r="R9" s="23">
        <f t="shared" si="1"/>
        <v>263311.01927576162</v>
      </c>
      <c r="S9" s="23">
        <f t="shared" si="1"/>
        <v>261994.46417938281</v>
      </c>
      <c r="T9" s="23">
        <f t="shared" si="1"/>
        <v>260684.49185848588</v>
      </c>
      <c r="U9" s="23">
        <f t="shared" si="1"/>
        <v>259381.06939919345</v>
      </c>
      <c r="V9" s="23">
        <f t="shared" si="1"/>
        <v>258084.16405219745</v>
      </c>
      <c r="W9" s="23">
        <f t="shared" si="1"/>
        <v>256793.7432319365</v>
      </c>
      <c r="X9" s="23">
        <f t="shared" si="1"/>
        <v>255509.77451577684</v>
      </c>
      <c r="Y9" s="23">
        <f t="shared" si="1"/>
        <v>254232.22564319798</v>
      </c>
      <c r="Z9" s="23">
        <f t="shared" si="1"/>
        <v>252961.06451498199</v>
      </c>
      <c r="AA9" s="23">
        <f t="shared" si="1"/>
        <v>251696.25919240707</v>
      </c>
      <c r="AB9" s="23">
        <f t="shared" si="1"/>
        <v>250437.77789644501</v>
      </c>
      <c r="AC9" s="23">
        <f t="shared" si="1"/>
        <v>249185.58900696278</v>
      </c>
      <c r="AD9" s="23">
        <f t="shared" si="1"/>
        <v>247939.66106192797</v>
      </c>
      <c r="AE9" s="23">
        <f t="shared" si="1"/>
        <v>246699.96275661836</v>
      </c>
      <c r="AF9" s="23">
        <f t="shared" si="1"/>
        <v>245466.46294283521</v>
      </c>
      <c r="AG9" s="23">
        <f t="shared" si="1"/>
        <v>244239.13062812109</v>
      </c>
      <c r="AH9" s="23">
        <f t="shared" si="1"/>
        <v>243017.93497498048</v>
      </c>
      <c r="AI9" s="23">
        <f t="shared" si="1"/>
        <v>241802.84530010558</v>
      </c>
      <c r="AJ9" s="23">
        <f t="shared" si="1"/>
        <v>240593.83107360502</v>
      </c>
      <c r="AK9" s="23">
        <f t="shared" si="1"/>
        <v>239390.861918237</v>
      </c>
      <c r="AL9" s="23">
        <f t="shared" si="1"/>
        <v>238193.90760864582</v>
      </c>
      <c r="AM9" s="23">
        <f t="shared" si="1"/>
        <v>237002.93807060266</v>
      </c>
      <c r="AN9" s="23">
        <f t="shared" si="1"/>
        <v>235817.92338024956</v>
      </c>
      <c r="AO9" s="23">
        <f t="shared" si="1"/>
        <v>234638.83376334838</v>
      </c>
      <c r="AP9" s="23">
        <f t="shared" si="1"/>
        <v>233465.63959453165</v>
      </c>
    </row>
    <row r="10" spans="1:42" x14ac:dyDescent="0.2">
      <c r="A10" s="41"/>
      <c r="B10" s="42" t="s">
        <v>81</v>
      </c>
      <c r="C10" s="49">
        <f>C8/6.4*6500</f>
        <v>26000</v>
      </c>
      <c r="D10" s="42" t="s">
        <v>3</v>
      </c>
      <c r="F10" s="61" t="s">
        <v>176</v>
      </c>
      <c r="G10" s="18" t="s">
        <v>57</v>
      </c>
      <c r="H10" s="19">
        <f>NPV(C53,L47:AG47)</f>
        <v>-35423.115672830347</v>
      </c>
      <c r="I10" s="18" t="s">
        <v>3</v>
      </c>
      <c r="J10" s="5"/>
      <c r="K10" s="24" t="s">
        <v>26</v>
      </c>
      <c r="L10" s="24"/>
      <c r="M10" s="23">
        <f t="shared" ref="M10:AP10" si="2">M8*$C23</f>
        <v>29999.300000000003</v>
      </c>
      <c r="N10" s="23">
        <f t="shared" si="2"/>
        <v>29849.303499999998</v>
      </c>
      <c r="O10" s="23">
        <f t="shared" si="2"/>
        <v>29700.056982500002</v>
      </c>
      <c r="P10" s="23">
        <f t="shared" si="2"/>
        <v>29551.556697587501</v>
      </c>
      <c r="Q10" s="23">
        <f t="shared" si="2"/>
        <v>29403.798914099567</v>
      </c>
      <c r="R10" s="23">
        <f t="shared" si="2"/>
        <v>29256.779919529068</v>
      </c>
      <c r="S10" s="23">
        <f t="shared" si="2"/>
        <v>29110.496019931423</v>
      </c>
      <c r="T10" s="23">
        <f t="shared" si="2"/>
        <v>28964.943539831766</v>
      </c>
      <c r="U10" s="23">
        <f t="shared" si="2"/>
        <v>28820.118822132605</v>
      </c>
      <c r="V10" s="23">
        <f t="shared" si="2"/>
        <v>28676.018228021941</v>
      </c>
      <c r="W10" s="23">
        <f t="shared" si="2"/>
        <v>28532.638136881837</v>
      </c>
      <c r="X10" s="23">
        <f t="shared" si="2"/>
        <v>28389.974946197428</v>
      </c>
      <c r="Y10" s="23">
        <f t="shared" si="2"/>
        <v>28248.025071466443</v>
      </c>
      <c r="Z10" s="23">
        <f t="shared" si="2"/>
        <v>28106.78494610911</v>
      </c>
      <c r="AA10" s="23">
        <f t="shared" si="2"/>
        <v>27966.251021378564</v>
      </c>
      <c r="AB10" s="23">
        <f t="shared" si="2"/>
        <v>27826.419766271669</v>
      </c>
      <c r="AC10" s="23">
        <f t="shared" si="2"/>
        <v>27687.287667440309</v>
      </c>
      <c r="AD10" s="23">
        <f t="shared" si="2"/>
        <v>27548.851229103107</v>
      </c>
      <c r="AE10" s="23">
        <f t="shared" si="2"/>
        <v>27411.106972957597</v>
      </c>
      <c r="AF10" s="23">
        <f t="shared" si="2"/>
        <v>27274.051438092803</v>
      </c>
      <c r="AG10" s="23">
        <f t="shared" si="2"/>
        <v>27137.681180902346</v>
      </c>
      <c r="AH10" s="23">
        <f t="shared" si="2"/>
        <v>27001.992774997834</v>
      </c>
      <c r="AI10" s="23">
        <f t="shared" si="2"/>
        <v>26866.982811122842</v>
      </c>
      <c r="AJ10" s="23">
        <f t="shared" si="2"/>
        <v>26732.647897067225</v>
      </c>
      <c r="AK10" s="23">
        <f t="shared" si="2"/>
        <v>26598.984657581892</v>
      </c>
      <c r="AL10" s="23">
        <f t="shared" si="2"/>
        <v>26465.98973429398</v>
      </c>
      <c r="AM10" s="23">
        <f t="shared" si="2"/>
        <v>26333.659785622516</v>
      </c>
      <c r="AN10" s="23">
        <f t="shared" si="2"/>
        <v>26201.991486694398</v>
      </c>
      <c r="AO10" s="23">
        <f t="shared" si="2"/>
        <v>26070.981529260931</v>
      </c>
      <c r="AP10" s="23">
        <f t="shared" si="2"/>
        <v>25940.626621614629</v>
      </c>
    </row>
    <row r="11" spans="1:42" x14ac:dyDescent="0.2">
      <c r="A11" s="21" t="s">
        <v>160</v>
      </c>
      <c r="B11" s="21" t="s">
        <v>77</v>
      </c>
      <c r="C11" s="29">
        <f>0.75*C6*1000</f>
        <v>150000</v>
      </c>
      <c r="D11" s="21" t="s">
        <v>3</v>
      </c>
      <c r="F11" s="59"/>
      <c r="G11" s="59" t="s">
        <v>118</v>
      </c>
      <c r="H11" s="63">
        <f>IF(-L47&lt;0.0001,"Very High", NPV($C53, M47:AP47)/-L47)</f>
        <v>1.1353004688225157</v>
      </c>
      <c r="I11" s="59"/>
      <c r="K11" s="24"/>
      <c r="L11" s="24"/>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row>
    <row r="12" spans="1:42" x14ac:dyDescent="0.2">
      <c r="A12" s="40" t="s">
        <v>159</v>
      </c>
      <c r="B12" s="21" t="s">
        <v>9</v>
      </c>
      <c r="C12" s="29">
        <v>0</v>
      </c>
      <c r="D12" s="21" t="s">
        <v>3</v>
      </c>
      <c r="F12" s="18" t="s">
        <v>170</v>
      </c>
      <c r="G12" s="18"/>
      <c r="H12" s="18"/>
      <c r="I12" s="18"/>
      <c r="K12" s="24" t="s">
        <v>13</v>
      </c>
      <c r="L12" s="25">
        <f>-SUM(C9:C10)</f>
        <v>-526000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ht="12.75" customHeight="1" x14ac:dyDescent="0.2">
      <c r="A13" s="40"/>
      <c r="B13" s="21" t="s">
        <v>198</v>
      </c>
      <c r="C13" s="30">
        <v>0.3</v>
      </c>
      <c r="D13" s="21" t="s">
        <v>6</v>
      </c>
      <c r="F13" s="18"/>
      <c r="G13" s="18"/>
      <c r="H13" s="18"/>
      <c r="I13" s="18"/>
      <c r="K13" s="24" t="s">
        <v>75</v>
      </c>
      <c r="L13" s="25">
        <f>C11</f>
        <v>150000</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x14ac:dyDescent="0.2">
      <c r="A14" s="41"/>
      <c r="B14" s="42" t="s">
        <v>197</v>
      </c>
      <c r="C14" s="50" t="s">
        <v>64</v>
      </c>
      <c r="D14" s="42" t="s">
        <v>103</v>
      </c>
      <c r="F14" s="18"/>
      <c r="G14" s="18"/>
      <c r="H14" s="18"/>
      <c r="I14" s="18"/>
      <c r="K14" s="24" t="s">
        <v>10</v>
      </c>
      <c r="L14" s="25">
        <f>C12</f>
        <v>0</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x14ac:dyDescent="0.2">
      <c r="A15" s="40" t="s">
        <v>42</v>
      </c>
      <c r="B15" s="21" t="s">
        <v>42</v>
      </c>
      <c r="C15" s="31" t="s">
        <v>64</v>
      </c>
      <c r="D15" s="21" t="s">
        <v>47</v>
      </c>
      <c r="F15" s="18"/>
      <c r="G15" s="18"/>
      <c r="H15" s="18"/>
      <c r="I15" s="18"/>
      <c r="K15" s="24" t="s">
        <v>11</v>
      </c>
      <c r="L15" s="47">
        <f>IF(C14="No",0,C13*(C9-C11))</f>
        <v>0</v>
      </c>
      <c r="M15" s="47">
        <f>C13</f>
        <v>0.3</v>
      </c>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row>
    <row r="16" spans="1:42" x14ac:dyDescent="0.2">
      <c r="A16" s="40"/>
      <c r="B16" s="21" t="s">
        <v>43</v>
      </c>
      <c r="C16" s="32">
        <v>1</v>
      </c>
      <c r="D16" s="21" t="s">
        <v>6</v>
      </c>
      <c r="F16" s="18"/>
      <c r="G16" s="18"/>
      <c r="H16" s="18"/>
      <c r="I16" s="18"/>
      <c r="K16" s="26" t="s">
        <v>28</v>
      </c>
      <c r="L16" s="25">
        <f t="shared" ref="L16:AP16" si="3">SUM(L12:L15)</f>
        <v>-376000</v>
      </c>
      <c r="M16" s="25">
        <f t="shared" si="3"/>
        <v>0.3</v>
      </c>
      <c r="N16" s="25">
        <f t="shared" si="3"/>
        <v>0</v>
      </c>
      <c r="O16" s="25">
        <f t="shared" si="3"/>
        <v>0</v>
      </c>
      <c r="P16" s="25">
        <f t="shared" si="3"/>
        <v>0</v>
      </c>
      <c r="Q16" s="25">
        <f t="shared" si="3"/>
        <v>0</v>
      </c>
      <c r="R16" s="25">
        <f t="shared" si="3"/>
        <v>0</v>
      </c>
      <c r="S16" s="25">
        <f t="shared" si="3"/>
        <v>0</v>
      </c>
      <c r="T16" s="25">
        <f t="shared" si="3"/>
        <v>0</v>
      </c>
      <c r="U16" s="25">
        <f t="shared" si="3"/>
        <v>0</v>
      </c>
      <c r="V16" s="25">
        <f t="shared" si="3"/>
        <v>0</v>
      </c>
      <c r="W16" s="25">
        <f t="shared" si="3"/>
        <v>0</v>
      </c>
      <c r="X16" s="25">
        <f t="shared" si="3"/>
        <v>0</v>
      </c>
      <c r="Y16" s="25">
        <f t="shared" si="3"/>
        <v>0</v>
      </c>
      <c r="Z16" s="25">
        <f t="shared" si="3"/>
        <v>0</v>
      </c>
      <c r="AA16" s="25">
        <f t="shared" si="3"/>
        <v>0</v>
      </c>
      <c r="AB16" s="25">
        <f t="shared" si="3"/>
        <v>0</v>
      </c>
      <c r="AC16" s="25">
        <f t="shared" si="3"/>
        <v>0</v>
      </c>
      <c r="AD16" s="25">
        <f t="shared" si="3"/>
        <v>0</v>
      </c>
      <c r="AE16" s="25">
        <f t="shared" si="3"/>
        <v>0</v>
      </c>
      <c r="AF16" s="25">
        <f t="shared" si="3"/>
        <v>0</v>
      </c>
      <c r="AG16" s="25">
        <f t="shared" si="3"/>
        <v>0</v>
      </c>
      <c r="AH16" s="25">
        <f t="shared" si="3"/>
        <v>0</v>
      </c>
      <c r="AI16" s="25">
        <f t="shared" si="3"/>
        <v>0</v>
      </c>
      <c r="AJ16" s="25">
        <f t="shared" si="3"/>
        <v>0</v>
      </c>
      <c r="AK16" s="25">
        <f t="shared" si="3"/>
        <v>0</v>
      </c>
      <c r="AL16" s="25">
        <f t="shared" si="3"/>
        <v>0</v>
      </c>
      <c r="AM16" s="25">
        <f t="shared" si="3"/>
        <v>0</v>
      </c>
      <c r="AN16" s="25">
        <f t="shared" si="3"/>
        <v>0</v>
      </c>
      <c r="AO16" s="25">
        <f t="shared" si="3"/>
        <v>0</v>
      </c>
      <c r="AP16" s="25">
        <f t="shared" si="3"/>
        <v>0</v>
      </c>
    </row>
    <row r="17" spans="1:42" x14ac:dyDescent="0.2">
      <c r="A17" s="40"/>
      <c r="B17" s="21" t="s">
        <v>44</v>
      </c>
      <c r="C17" s="28">
        <v>20</v>
      </c>
      <c r="D17" s="21" t="s">
        <v>22</v>
      </c>
      <c r="F17" s="18"/>
      <c r="G17" s="18"/>
      <c r="H17" s="18"/>
      <c r="I17" s="18"/>
      <c r="K17" s="26"/>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x14ac:dyDescent="0.2">
      <c r="A18" s="40"/>
      <c r="B18" s="21" t="s">
        <v>45</v>
      </c>
      <c r="C18" s="33">
        <v>0.04</v>
      </c>
      <c r="D18" s="21" t="s">
        <v>6</v>
      </c>
      <c r="F18" s="18"/>
      <c r="G18" s="18"/>
      <c r="H18" s="18"/>
      <c r="I18" s="18"/>
      <c r="K18" s="89" t="s">
        <v>66</v>
      </c>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x14ac:dyDescent="0.2">
      <c r="A19" s="40"/>
      <c r="B19" s="21" t="s">
        <v>60</v>
      </c>
      <c r="C19" s="32">
        <v>0.05</v>
      </c>
      <c r="D19" s="21" t="s">
        <v>6</v>
      </c>
      <c r="F19" s="18"/>
      <c r="G19" s="18"/>
      <c r="H19" s="18"/>
      <c r="I19" s="18"/>
      <c r="K19" s="26" t="s">
        <v>61</v>
      </c>
      <c r="L19" s="25">
        <f>IF(C15="No",0,C19*L16*C16)</f>
        <v>0</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x14ac:dyDescent="0.2">
      <c r="A20" s="41"/>
      <c r="B20" s="42" t="s">
        <v>63</v>
      </c>
      <c r="C20" s="51" t="s">
        <v>56</v>
      </c>
      <c r="D20" s="42" t="s">
        <v>47</v>
      </c>
      <c r="F20" s="18"/>
      <c r="G20" s="18"/>
      <c r="H20" s="18"/>
      <c r="I20" s="18"/>
      <c r="K20" s="26" t="s">
        <v>48</v>
      </c>
      <c r="L20" s="47">
        <f>IF(C15="Yes", IF(C20="Yes", -L16*C16+(-C19*L16*C16), -L16*C16), 0)</f>
        <v>0</v>
      </c>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row>
    <row r="21" spans="1:42" x14ac:dyDescent="0.2">
      <c r="A21" s="40" t="s">
        <v>105</v>
      </c>
      <c r="B21" s="21" t="s">
        <v>94</v>
      </c>
      <c r="C21" s="27">
        <f>C67</f>
        <v>299993</v>
      </c>
      <c r="D21" s="21" t="s">
        <v>115</v>
      </c>
      <c r="F21" s="18"/>
      <c r="G21" s="18"/>
      <c r="H21" s="18"/>
      <c r="I21" s="18"/>
      <c r="K21" s="26" t="s">
        <v>49</v>
      </c>
      <c r="L21" s="25">
        <f>SUM(L16:L20)</f>
        <v>-376000</v>
      </c>
      <c r="M21" s="25">
        <f t="shared" ref="M21:AP21" si="4">SUM(M16:M20)</f>
        <v>0.3</v>
      </c>
      <c r="N21" s="25">
        <f t="shared" si="4"/>
        <v>0</v>
      </c>
      <c r="O21" s="25">
        <f t="shared" si="4"/>
        <v>0</v>
      </c>
      <c r="P21" s="25">
        <f t="shared" si="4"/>
        <v>0</v>
      </c>
      <c r="Q21" s="25">
        <f t="shared" si="4"/>
        <v>0</v>
      </c>
      <c r="R21" s="25">
        <f t="shared" si="4"/>
        <v>0</v>
      </c>
      <c r="S21" s="25">
        <f t="shared" si="4"/>
        <v>0</v>
      </c>
      <c r="T21" s="25">
        <f t="shared" si="4"/>
        <v>0</v>
      </c>
      <c r="U21" s="25">
        <f t="shared" si="4"/>
        <v>0</v>
      </c>
      <c r="V21" s="25">
        <f t="shared" si="4"/>
        <v>0</v>
      </c>
      <c r="W21" s="25">
        <f t="shared" si="4"/>
        <v>0</v>
      </c>
      <c r="X21" s="25">
        <f t="shared" si="4"/>
        <v>0</v>
      </c>
      <c r="Y21" s="25">
        <f t="shared" si="4"/>
        <v>0</v>
      </c>
      <c r="Z21" s="25">
        <f t="shared" si="4"/>
        <v>0</v>
      </c>
      <c r="AA21" s="25">
        <f t="shared" si="4"/>
        <v>0</v>
      </c>
      <c r="AB21" s="25">
        <f t="shared" si="4"/>
        <v>0</v>
      </c>
      <c r="AC21" s="25">
        <f t="shared" si="4"/>
        <v>0</v>
      </c>
      <c r="AD21" s="25">
        <f t="shared" si="4"/>
        <v>0</v>
      </c>
      <c r="AE21" s="25">
        <f t="shared" si="4"/>
        <v>0</v>
      </c>
      <c r="AF21" s="25">
        <f t="shared" si="4"/>
        <v>0</v>
      </c>
      <c r="AG21" s="25">
        <f t="shared" si="4"/>
        <v>0</v>
      </c>
      <c r="AH21" s="25">
        <f t="shared" si="4"/>
        <v>0</v>
      </c>
      <c r="AI21" s="25">
        <f t="shared" si="4"/>
        <v>0</v>
      </c>
      <c r="AJ21" s="25">
        <f t="shared" si="4"/>
        <v>0</v>
      </c>
      <c r="AK21" s="25">
        <f t="shared" si="4"/>
        <v>0</v>
      </c>
      <c r="AL21" s="25">
        <f t="shared" si="4"/>
        <v>0</v>
      </c>
      <c r="AM21" s="25">
        <f t="shared" si="4"/>
        <v>0</v>
      </c>
      <c r="AN21" s="25">
        <f t="shared" si="4"/>
        <v>0</v>
      </c>
      <c r="AO21" s="25">
        <f t="shared" si="4"/>
        <v>0</v>
      </c>
      <c r="AP21" s="25">
        <f t="shared" si="4"/>
        <v>0</v>
      </c>
    </row>
    <row r="22" spans="1:42" x14ac:dyDescent="0.2">
      <c r="A22" s="40"/>
      <c r="B22" s="21" t="s">
        <v>95</v>
      </c>
      <c r="C22" s="33">
        <v>5.0000000000000001E-3</v>
      </c>
      <c r="D22" s="21" t="s">
        <v>6</v>
      </c>
      <c r="F22" s="18"/>
      <c r="G22" s="18"/>
      <c r="H22" s="18"/>
      <c r="I22" s="18"/>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x14ac:dyDescent="0.2">
      <c r="A23" s="40"/>
      <c r="B23" s="21" t="s">
        <v>96</v>
      </c>
      <c r="C23" s="32">
        <v>0.1</v>
      </c>
      <c r="D23" s="21" t="s">
        <v>6</v>
      </c>
      <c r="F23" s="18"/>
      <c r="G23" s="18"/>
      <c r="H23" s="18"/>
      <c r="I23" s="18"/>
      <c r="K23" s="24" t="s">
        <v>67</v>
      </c>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x14ac:dyDescent="0.2">
      <c r="A24" s="41"/>
      <c r="B24" s="42" t="s">
        <v>106</v>
      </c>
      <c r="C24" s="52">
        <f>0.25*46%</f>
        <v>0.115</v>
      </c>
      <c r="D24" s="42" t="s">
        <v>6</v>
      </c>
      <c r="F24" s="59"/>
      <c r="G24" s="59"/>
      <c r="H24" s="59"/>
      <c r="I24" s="59"/>
      <c r="K24" s="24" t="s">
        <v>86</v>
      </c>
      <c r="L24" s="24"/>
      <c r="M24" s="25">
        <f t="shared" ref="M24:AP24" si="5">M9*$C25*((1+$C30)^L7)+M10*$C26*((1+$C30)^L7)</f>
        <v>23999.440000000002</v>
      </c>
      <c r="N24" s="25">
        <f t="shared" si="5"/>
        <v>24237.634441999999</v>
      </c>
      <c r="O24" s="25">
        <f t="shared" si="5"/>
        <v>24478.192963836842</v>
      </c>
      <c r="P24" s="25">
        <f t="shared" si="5"/>
        <v>24721.139029002923</v>
      </c>
      <c r="Q24" s="25">
        <f t="shared" si="5"/>
        <v>24966.496333865773</v>
      </c>
      <c r="R24" s="25">
        <f t="shared" si="5"/>
        <v>25214.288809979385</v>
      </c>
      <c r="S24" s="25">
        <f t="shared" si="5"/>
        <v>25464.540626418428</v>
      </c>
      <c r="T24" s="25">
        <f t="shared" si="5"/>
        <v>25717.276192135629</v>
      </c>
      <c r="U24" s="25">
        <f t="shared" si="5"/>
        <v>25972.52015834257</v>
      </c>
      <c r="V24" s="25">
        <f t="shared" si="5"/>
        <v>26230.297420914114</v>
      </c>
      <c r="W24" s="25">
        <f t="shared" si="5"/>
        <v>26490.633122816689</v>
      </c>
      <c r="X24" s="25">
        <f t="shared" si="5"/>
        <v>26753.552656560641</v>
      </c>
      <c r="Y24" s="25">
        <f t="shared" si="5"/>
        <v>27019.081666677004</v>
      </c>
      <c r="Z24" s="25">
        <f t="shared" si="5"/>
        <v>27287.246052218772</v>
      </c>
      <c r="AA24" s="25">
        <f t="shared" si="5"/>
        <v>27558.071969287037</v>
      </c>
      <c r="AB24" s="25">
        <f t="shared" si="5"/>
        <v>27831.585833582201</v>
      </c>
      <c r="AC24" s="25">
        <f t="shared" si="5"/>
        <v>28107.814322980503</v>
      </c>
      <c r="AD24" s="25">
        <f t="shared" si="5"/>
        <v>28386.78438013608</v>
      </c>
      <c r="AE24" s="25">
        <f t="shared" si="5"/>
        <v>28668.523215108933</v>
      </c>
      <c r="AF24" s="25">
        <f t="shared" si="5"/>
        <v>28953.058308018881</v>
      </c>
      <c r="AG24" s="25">
        <f t="shared" si="5"/>
        <v>29240.417411725961</v>
      </c>
      <c r="AH24" s="25">
        <f t="shared" si="5"/>
        <v>29530.628554537343</v>
      </c>
      <c r="AI24" s="25">
        <f t="shared" si="5"/>
        <v>29823.72004294112</v>
      </c>
      <c r="AJ24" s="25">
        <f t="shared" si="5"/>
        <v>30119.720464367307</v>
      </c>
      <c r="AK24" s="25">
        <f t="shared" si="5"/>
        <v>30418.658689976142</v>
      </c>
      <c r="AL24" s="25">
        <f t="shared" si="5"/>
        <v>30720.56387747416</v>
      </c>
      <c r="AM24" s="25">
        <f t="shared" si="5"/>
        <v>31025.465473958091</v>
      </c>
      <c r="AN24" s="25">
        <f t="shared" si="5"/>
        <v>31333.393218787111</v>
      </c>
      <c r="AO24" s="25">
        <f t="shared" si="5"/>
        <v>31644.377146483574</v>
      </c>
      <c r="AP24" s="25">
        <f t="shared" si="5"/>
        <v>31958.447589662424</v>
      </c>
    </row>
    <row r="25" spans="1:42" x14ac:dyDescent="0.2">
      <c r="A25" s="40" t="s">
        <v>165</v>
      </c>
      <c r="B25" s="21" t="s">
        <v>27</v>
      </c>
      <c r="C25" s="34">
        <v>0.08</v>
      </c>
      <c r="D25" s="21" t="s">
        <v>8</v>
      </c>
      <c r="F25" s="18" t="s">
        <v>200</v>
      </c>
      <c r="G25" s="64"/>
      <c r="H25" s="18"/>
      <c r="I25" s="18"/>
      <c r="K25" s="24" t="s">
        <v>91</v>
      </c>
      <c r="L25" s="24"/>
      <c r="M25" s="25">
        <f t="shared" ref="M25:AP25" si="6">IF($C27="No", 0, ($C6*$C24*$C28*12)*(1+$C30)^(L7))</f>
        <v>1380</v>
      </c>
      <c r="N25" s="25">
        <f t="shared" si="6"/>
        <v>1400.6999999999998</v>
      </c>
      <c r="O25" s="25">
        <f t="shared" si="6"/>
        <v>1421.7104999999997</v>
      </c>
      <c r="P25" s="25">
        <f t="shared" si="6"/>
        <v>1443.0361574999995</v>
      </c>
      <c r="Q25" s="25">
        <f t="shared" si="6"/>
        <v>1464.6816998624993</v>
      </c>
      <c r="R25" s="25">
        <f t="shared" si="6"/>
        <v>1486.6519253604365</v>
      </c>
      <c r="S25" s="25">
        <f t="shared" si="6"/>
        <v>1508.9517042408427</v>
      </c>
      <c r="T25" s="25">
        <f t="shared" si="6"/>
        <v>1531.5859798044551</v>
      </c>
      <c r="U25" s="25">
        <f t="shared" si="6"/>
        <v>1554.5597695015219</v>
      </c>
      <c r="V25" s="25">
        <f t="shared" si="6"/>
        <v>1577.8781660440445</v>
      </c>
      <c r="W25" s="25">
        <f t="shared" si="6"/>
        <v>1601.546338534705</v>
      </c>
      <c r="X25" s="25">
        <f t="shared" si="6"/>
        <v>1625.5695336127253</v>
      </c>
      <c r="Y25" s="25">
        <f t="shared" si="6"/>
        <v>1649.953076616916</v>
      </c>
      <c r="Z25" s="25">
        <f t="shared" si="6"/>
        <v>1674.7023727661694</v>
      </c>
      <c r="AA25" s="25">
        <f t="shared" si="6"/>
        <v>1699.8229083576616</v>
      </c>
      <c r="AB25" s="25">
        <f t="shared" si="6"/>
        <v>1725.3202519830263</v>
      </c>
      <c r="AC25" s="25">
        <f t="shared" si="6"/>
        <v>1751.2000557627716</v>
      </c>
      <c r="AD25" s="25">
        <f t="shared" si="6"/>
        <v>1777.4680565992128</v>
      </c>
      <c r="AE25" s="25">
        <f t="shared" si="6"/>
        <v>1804.1300774482008</v>
      </c>
      <c r="AF25" s="25">
        <f t="shared" si="6"/>
        <v>1831.1920286099237</v>
      </c>
      <c r="AG25" s="25">
        <f t="shared" si="6"/>
        <v>1858.6599090390721</v>
      </c>
      <c r="AH25" s="25">
        <f t="shared" si="6"/>
        <v>1886.5398076746581</v>
      </c>
      <c r="AI25" s="25">
        <f t="shared" si="6"/>
        <v>1914.8379047897774</v>
      </c>
      <c r="AJ25" s="25">
        <f t="shared" si="6"/>
        <v>1943.560473361624</v>
      </c>
      <c r="AK25" s="25">
        <f t="shared" si="6"/>
        <v>1972.7138804620481</v>
      </c>
      <c r="AL25" s="25">
        <f t="shared" si="6"/>
        <v>2002.3045886689786</v>
      </c>
      <c r="AM25" s="25">
        <f t="shared" si="6"/>
        <v>2032.339157499013</v>
      </c>
      <c r="AN25" s="25">
        <f t="shared" si="6"/>
        <v>2062.8242448614978</v>
      </c>
      <c r="AO25" s="25">
        <f t="shared" si="6"/>
        <v>2093.7666085344199</v>
      </c>
      <c r="AP25" s="25">
        <f t="shared" si="6"/>
        <v>2125.1731076624365</v>
      </c>
    </row>
    <row r="26" spans="1:42" x14ac:dyDescent="0.2">
      <c r="A26" s="40" t="s">
        <v>166</v>
      </c>
      <c r="B26" s="21" t="s">
        <v>7</v>
      </c>
      <c r="C26" s="34">
        <v>0.08</v>
      </c>
      <c r="D26" s="21" t="s">
        <v>8</v>
      </c>
      <c r="F26" s="74" t="s">
        <v>194</v>
      </c>
      <c r="G26" s="59"/>
      <c r="H26" s="59"/>
      <c r="I26" s="106"/>
      <c r="K26" s="24" t="s">
        <v>72</v>
      </c>
      <c r="L26" s="24"/>
      <c r="M26" s="25">
        <f t="shared" ref="M26:AP26" si="7">$C33*$C34*$C35*365</f>
        <v>0</v>
      </c>
      <c r="N26" s="25">
        <f t="shared" si="7"/>
        <v>0</v>
      </c>
      <c r="O26" s="25">
        <f t="shared" si="7"/>
        <v>0</v>
      </c>
      <c r="P26" s="25">
        <f t="shared" si="7"/>
        <v>0</v>
      </c>
      <c r="Q26" s="25">
        <f t="shared" si="7"/>
        <v>0</v>
      </c>
      <c r="R26" s="25">
        <f t="shared" si="7"/>
        <v>0</v>
      </c>
      <c r="S26" s="25">
        <f t="shared" si="7"/>
        <v>0</v>
      </c>
      <c r="T26" s="25">
        <f t="shared" si="7"/>
        <v>0</v>
      </c>
      <c r="U26" s="25">
        <f t="shared" si="7"/>
        <v>0</v>
      </c>
      <c r="V26" s="25">
        <f t="shared" si="7"/>
        <v>0</v>
      </c>
      <c r="W26" s="25">
        <f t="shared" si="7"/>
        <v>0</v>
      </c>
      <c r="X26" s="25">
        <f t="shared" si="7"/>
        <v>0</v>
      </c>
      <c r="Y26" s="25">
        <f t="shared" si="7"/>
        <v>0</v>
      </c>
      <c r="Z26" s="25">
        <f t="shared" si="7"/>
        <v>0</v>
      </c>
      <c r="AA26" s="25">
        <f t="shared" si="7"/>
        <v>0</v>
      </c>
      <c r="AB26" s="25">
        <f t="shared" si="7"/>
        <v>0</v>
      </c>
      <c r="AC26" s="25">
        <f t="shared" si="7"/>
        <v>0</v>
      </c>
      <c r="AD26" s="25">
        <f t="shared" si="7"/>
        <v>0</v>
      </c>
      <c r="AE26" s="25">
        <f t="shared" si="7"/>
        <v>0</v>
      </c>
      <c r="AF26" s="25">
        <f t="shared" si="7"/>
        <v>0</v>
      </c>
      <c r="AG26" s="25">
        <f t="shared" si="7"/>
        <v>0</v>
      </c>
      <c r="AH26" s="25">
        <f t="shared" si="7"/>
        <v>0</v>
      </c>
      <c r="AI26" s="25">
        <f t="shared" si="7"/>
        <v>0</v>
      </c>
      <c r="AJ26" s="25">
        <f t="shared" si="7"/>
        <v>0</v>
      </c>
      <c r="AK26" s="25">
        <f t="shared" si="7"/>
        <v>0</v>
      </c>
      <c r="AL26" s="25">
        <f t="shared" si="7"/>
        <v>0</v>
      </c>
      <c r="AM26" s="25">
        <f t="shared" si="7"/>
        <v>0</v>
      </c>
      <c r="AN26" s="25">
        <f t="shared" si="7"/>
        <v>0</v>
      </c>
      <c r="AO26" s="25">
        <f t="shared" si="7"/>
        <v>0</v>
      </c>
      <c r="AP26" s="25">
        <f t="shared" si="7"/>
        <v>0</v>
      </c>
    </row>
    <row r="27" spans="1:42" x14ac:dyDescent="0.2">
      <c r="A27" s="40"/>
      <c r="B27" s="21" t="s">
        <v>87</v>
      </c>
      <c r="C27" s="31" t="s">
        <v>56</v>
      </c>
      <c r="D27" s="21" t="s">
        <v>47</v>
      </c>
      <c r="F27" s="61" t="s">
        <v>171</v>
      </c>
      <c r="G27" s="65" t="s">
        <v>123</v>
      </c>
      <c r="H27" s="69">
        <v>3.9411342518256651</v>
      </c>
      <c r="I27" s="18"/>
      <c r="K27" s="24" t="s">
        <v>89</v>
      </c>
      <c r="L27" s="24"/>
      <c r="M27" s="25">
        <f>$C36</f>
        <v>0</v>
      </c>
      <c r="N27" s="25">
        <f>$C36</f>
        <v>0</v>
      </c>
      <c r="O27" s="25">
        <f>$C36</f>
        <v>0</v>
      </c>
      <c r="P27" s="25">
        <f>$C36</f>
        <v>0</v>
      </c>
      <c r="Q27" s="25">
        <f>$C36</f>
        <v>0</v>
      </c>
      <c r="R27" s="25">
        <f>$C37</f>
        <v>0</v>
      </c>
      <c r="S27" s="25">
        <f>$C37</f>
        <v>0</v>
      </c>
      <c r="T27" s="25">
        <f>$C37</f>
        <v>0</v>
      </c>
      <c r="U27" s="25">
        <f>$C37</f>
        <v>0</v>
      </c>
      <c r="V27" s="25">
        <f>$C37</f>
        <v>0</v>
      </c>
      <c r="W27" s="25">
        <f t="shared" ref="W27:AP27" si="8">$C38</f>
        <v>0</v>
      </c>
      <c r="X27" s="25">
        <f t="shared" si="8"/>
        <v>0</v>
      </c>
      <c r="Y27" s="25">
        <f t="shared" si="8"/>
        <v>0</v>
      </c>
      <c r="Z27" s="25">
        <f t="shared" si="8"/>
        <v>0</v>
      </c>
      <c r="AA27" s="25">
        <f t="shared" si="8"/>
        <v>0</v>
      </c>
      <c r="AB27" s="25">
        <f t="shared" si="8"/>
        <v>0</v>
      </c>
      <c r="AC27" s="25">
        <f t="shared" si="8"/>
        <v>0</v>
      </c>
      <c r="AD27" s="25">
        <f t="shared" si="8"/>
        <v>0</v>
      </c>
      <c r="AE27" s="25">
        <f t="shared" si="8"/>
        <v>0</v>
      </c>
      <c r="AF27" s="25">
        <f t="shared" si="8"/>
        <v>0</v>
      </c>
      <c r="AG27" s="25">
        <f t="shared" si="8"/>
        <v>0</v>
      </c>
      <c r="AH27" s="25">
        <f t="shared" si="8"/>
        <v>0</v>
      </c>
      <c r="AI27" s="25">
        <f t="shared" si="8"/>
        <v>0</v>
      </c>
      <c r="AJ27" s="25">
        <f t="shared" si="8"/>
        <v>0</v>
      </c>
      <c r="AK27" s="25">
        <f t="shared" si="8"/>
        <v>0</v>
      </c>
      <c r="AL27" s="25">
        <f t="shared" si="8"/>
        <v>0</v>
      </c>
      <c r="AM27" s="25">
        <f t="shared" si="8"/>
        <v>0</v>
      </c>
      <c r="AN27" s="25">
        <f t="shared" si="8"/>
        <v>0</v>
      </c>
      <c r="AO27" s="25">
        <f t="shared" si="8"/>
        <v>0</v>
      </c>
      <c r="AP27" s="25">
        <f t="shared" si="8"/>
        <v>0</v>
      </c>
    </row>
    <row r="28" spans="1:42" x14ac:dyDescent="0.2">
      <c r="A28" s="40"/>
      <c r="B28" s="21" t="s">
        <v>116</v>
      </c>
      <c r="C28" s="35">
        <v>5</v>
      </c>
      <c r="D28" s="21" t="s">
        <v>68</v>
      </c>
      <c r="F28" s="61" t="s">
        <v>174</v>
      </c>
      <c r="G28" s="65" t="s">
        <v>124</v>
      </c>
      <c r="H28" s="70">
        <v>263.41230898951864</v>
      </c>
      <c r="I28" s="18" t="s">
        <v>126</v>
      </c>
      <c r="K28" s="24" t="s">
        <v>73</v>
      </c>
      <c r="L28" s="24"/>
      <c r="M28" s="25">
        <f t="shared" ref="M28:AP28" si="9">IF(L7&lt;$C32, ($C8*365*$C29*$C31)*(1+$C30)^L7+IF($C27="No", 0, ($C7*12*$C28*$C31)*(1+$C30)^L7), 0)</f>
        <v>1593.7919999999999</v>
      </c>
      <c r="N28" s="25">
        <f t="shared" si="9"/>
        <v>1617.6988799999997</v>
      </c>
      <c r="O28" s="25">
        <f t="shared" si="9"/>
        <v>1641.9643631999995</v>
      </c>
      <c r="P28" s="25">
        <f t="shared" si="9"/>
        <v>1666.5938286479993</v>
      </c>
      <c r="Q28" s="25">
        <f t="shared" si="9"/>
        <v>1691.5927360777189</v>
      </c>
      <c r="R28" s="25">
        <f t="shared" si="9"/>
        <v>1716.9666271188846</v>
      </c>
      <c r="S28" s="25">
        <f t="shared" si="9"/>
        <v>1742.7211265256674</v>
      </c>
      <c r="T28" s="25">
        <f t="shared" si="9"/>
        <v>1768.8619434235522</v>
      </c>
      <c r="U28" s="25">
        <f t="shared" si="9"/>
        <v>1795.3948725749055</v>
      </c>
      <c r="V28" s="25">
        <f t="shared" si="9"/>
        <v>1822.3257956635289</v>
      </c>
      <c r="W28" s="25">
        <f t="shared" si="9"/>
        <v>0</v>
      </c>
      <c r="X28" s="25">
        <f t="shared" si="9"/>
        <v>0</v>
      </c>
      <c r="Y28" s="25">
        <f t="shared" si="9"/>
        <v>0</v>
      </c>
      <c r="Z28" s="25">
        <f t="shared" si="9"/>
        <v>0</v>
      </c>
      <c r="AA28" s="25">
        <f t="shared" si="9"/>
        <v>0</v>
      </c>
      <c r="AB28" s="25">
        <f t="shared" si="9"/>
        <v>0</v>
      </c>
      <c r="AC28" s="25">
        <f t="shared" si="9"/>
        <v>0</v>
      </c>
      <c r="AD28" s="25">
        <f t="shared" si="9"/>
        <v>0</v>
      </c>
      <c r="AE28" s="25">
        <f t="shared" si="9"/>
        <v>0</v>
      </c>
      <c r="AF28" s="25">
        <f t="shared" si="9"/>
        <v>0</v>
      </c>
      <c r="AG28" s="25">
        <f t="shared" si="9"/>
        <v>0</v>
      </c>
      <c r="AH28" s="25">
        <f t="shared" si="9"/>
        <v>0</v>
      </c>
      <c r="AI28" s="25">
        <f t="shared" si="9"/>
        <v>0</v>
      </c>
      <c r="AJ28" s="25">
        <f t="shared" si="9"/>
        <v>0</v>
      </c>
      <c r="AK28" s="25">
        <f t="shared" si="9"/>
        <v>0</v>
      </c>
      <c r="AL28" s="25">
        <f t="shared" si="9"/>
        <v>0</v>
      </c>
      <c r="AM28" s="25">
        <f t="shared" si="9"/>
        <v>0</v>
      </c>
      <c r="AN28" s="25">
        <f t="shared" si="9"/>
        <v>0</v>
      </c>
      <c r="AO28" s="25">
        <f t="shared" si="9"/>
        <v>0</v>
      </c>
      <c r="AP28" s="25">
        <f t="shared" si="9"/>
        <v>0</v>
      </c>
    </row>
    <row r="29" spans="1:42" x14ac:dyDescent="0.2">
      <c r="A29" s="40"/>
      <c r="B29" s="21" t="s">
        <v>79</v>
      </c>
      <c r="C29" s="34">
        <v>0.02</v>
      </c>
      <c r="D29" s="21" t="s">
        <v>8</v>
      </c>
      <c r="F29" s="66" t="s">
        <v>175</v>
      </c>
      <c r="G29" s="67" t="s">
        <v>125</v>
      </c>
      <c r="H29" s="71">
        <v>558.67432403826683</v>
      </c>
      <c r="I29" s="106" t="s">
        <v>126</v>
      </c>
      <c r="K29" s="24" t="s">
        <v>74</v>
      </c>
      <c r="L29" s="24"/>
      <c r="M29" s="90">
        <f t="shared" ref="M29:AP29" si="10">$C39</f>
        <v>0</v>
      </c>
      <c r="N29" s="90">
        <f t="shared" si="10"/>
        <v>0</v>
      </c>
      <c r="O29" s="90">
        <f t="shared" si="10"/>
        <v>0</v>
      </c>
      <c r="P29" s="90">
        <f t="shared" si="10"/>
        <v>0</v>
      </c>
      <c r="Q29" s="90">
        <f t="shared" si="10"/>
        <v>0</v>
      </c>
      <c r="R29" s="90">
        <f t="shared" si="10"/>
        <v>0</v>
      </c>
      <c r="S29" s="90">
        <f t="shared" si="10"/>
        <v>0</v>
      </c>
      <c r="T29" s="90">
        <f t="shared" si="10"/>
        <v>0</v>
      </c>
      <c r="U29" s="90">
        <f t="shared" si="10"/>
        <v>0</v>
      </c>
      <c r="V29" s="90">
        <f t="shared" si="10"/>
        <v>0</v>
      </c>
      <c r="W29" s="90">
        <f t="shared" si="10"/>
        <v>0</v>
      </c>
      <c r="X29" s="90">
        <f t="shared" si="10"/>
        <v>0</v>
      </c>
      <c r="Y29" s="90">
        <f t="shared" si="10"/>
        <v>0</v>
      </c>
      <c r="Z29" s="90">
        <f t="shared" si="10"/>
        <v>0</v>
      </c>
      <c r="AA29" s="90">
        <f t="shared" si="10"/>
        <v>0</v>
      </c>
      <c r="AB29" s="90">
        <f t="shared" si="10"/>
        <v>0</v>
      </c>
      <c r="AC29" s="90">
        <f t="shared" si="10"/>
        <v>0</v>
      </c>
      <c r="AD29" s="90">
        <f t="shared" si="10"/>
        <v>0</v>
      </c>
      <c r="AE29" s="90">
        <f t="shared" si="10"/>
        <v>0</v>
      </c>
      <c r="AF29" s="90">
        <f t="shared" si="10"/>
        <v>0</v>
      </c>
      <c r="AG29" s="90">
        <f t="shared" si="10"/>
        <v>0</v>
      </c>
      <c r="AH29" s="90">
        <f t="shared" si="10"/>
        <v>0</v>
      </c>
      <c r="AI29" s="90">
        <f t="shared" si="10"/>
        <v>0</v>
      </c>
      <c r="AJ29" s="90">
        <f t="shared" si="10"/>
        <v>0</v>
      </c>
      <c r="AK29" s="90">
        <f t="shared" si="10"/>
        <v>0</v>
      </c>
      <c r="AL29" s="90">
        <f t="shared" si="10"/>
        <v>0</v>
      </c>
      <c r="AM29" s="90">
        <f t="shared" si="10"/>
        <v>0</v>
      </c>
      <c r="AN29" s="90">
        <f t="shared" si="10"/>
        <v>0</v>
      </c>
      <c r="AO29" s="90">
        <f t="shared" si="10"/>
        <v>0</v>
      </c>
      <c r="AP29" s="90">
        <f t="shared" si="10"/>
        <v>0</v>
      </c>
    </row>
    <row r="30" spans="1:42" ht="12.75" customHeight="1" x14ac:dyDescent="0.2">
      <c r="A30" s="41"/>
      <c r="B30" s="42" t="s">
        <v>90</v>
      </c>
      <c r="C30" s="53">
        <v>1.4999999999999999E-2</v>
      </c>
      <c r="D30" s="42" t="s">
        <v>6</v>
      </c>
      <c r="F30" s="61" t="s">
        <v>171</v>
      </c>
      <c r="G30" s="65" t="s">
        <v>123</v>
      </c>
      <c r="H30" s="69">
        <v>5.5215692779515137E-2</v>
      </c>
      <c r="I30" s="18"/>
      <c r="K30" s="24" t="s">
        <v>36</v>
      </c>
      <c r="L30" s="24"/>
      <c r="M30" s="47">
        <f>M8/1000*$C40</f>
        <v>0</v>
      </c>
      <c r="N30" s="47">
        <f>N8/1000*$C40</f>
        <v>0</v>
      </c>
      <c r="O30" s="47">
        <f>O8/1000*$C40</f>
        <v>0</v>
      </c>
      <c r="P30" s="47">
        <f>P8/1000*$C40</f>
        <v>0</v>
      </c>
      <c r="Q30" s="47">
        <f>Q8/1000*$C40</f>
        <v>0</v>
      </c>
      <c r="R30" s="47">
        <f>R8/1000*$C41</f>
        <v>0</v>
      </c>
      <c r="S30" s="47">
        <f>S8/1000*$C41</f>
        <v>0</v>
      </c>
      <c r="T30" s="47">
        <f>T8/1000*$C41</f>
        <v>0</v>
      </c>
      <c r="U30" s="47">
        <f>U8/1000*$C41</f>
        <v>0</v>
      </c>
      <c r="V30" s="47">
        <f>V8/1000*$C41</f>
        <v>0</v>
      </c>
      <c r="W30" s="47">
        <f t="shared" ref="W30:AP30" si="11">W8/1000*$C42</f>
        <v>0</v>
      </c>
      <c r="X30" s="47">
        <f t="shared" si="11"/>
        <v>0</v>
      </c>
      <c r="Y30" s="47">
        <f t="shared" si="11"/>
        <v>0</v>
      </c>
      <c r="Z30" s="47">
        <f t="shared" si="11"/>
        <v>0</v>
      </c>
      <c r="AA30" s="47">
        <f t="shared" si="11"/>
        <v>0</v>
      </c>
      <c r="AB30" s="47">
        <f t="shared" si="11"/>
        <v>0</v>
      </c>
      <c r="AC30" s="47">
        <f t="shared" si="11"/>
        <v>0</v>
      </c>
      <c r="AD30" s="47">
        <f t="shared" si="11"/>
        <v>0</v>
      </c>
      <c r="AE30" s="47">
        <f t="shared" si="11"/>
        <v>0</v>
      </c>
      <c r="AF30" s="47">
        <f t="shared" si="11"/>
        <v>0</v>
      </c>
      <c r="AG30" s="47">
        <f t="shared" si="11"/>
        <v>0</v>
      </c>
      <c r="AH30" s="47">
        <f t="shared" si="11"/>
        <v>0</v>
      </c>
      <c r="AI30" s="47">
        <f t="shared" si="11"/>
        <v>0</v>
      </c>
      <c r="AJ30" s="47">
        <f t="shared" si="11"/>
        <v>0</v>
      </c>
      <c r="AK30" s="47">
        <f t="shared" si="11"/>
        <v>0</v>
      </c>
      <c r="AL30" s="47">
        <f t="shared" si="11"/>
        <v>0</v>
      </c>
      <c r="AM30" s="47">
        <f t="shared" si="11"/>
        <v>0</v>
      </c>
      <c r="AN30" s="47">
        <f t="shared" si="11"/>
        <v>0</v>
      </c>
      <c r="AO30" s="47">
        <f t="shared" si="11"/>
        <v>0</v>
      </c>
      <c r="AP30" s="47">
        <f t="shared" si="11"/>
        <v>0</v>
      </c>
    </row>
    <row r="31" spans="1:42" x14ac:dyDescent="0.2">
      <c r="A31" s="40" t="s">
        <v>161</v>
      </c>
      <c r="B31" s="21" t="s">
        <v>93</v>
      </c>
      <c r="C31" s="32">
        <v>0.9</v>
      </c>
      <c r="D31" s="21" t="s">
        <v>6</v>
      </c>
      <c r="F31" s="61" t="s">
        <v>172</v>
      </c>
      <c r="G31" s="65" t="s">
        <v>124</v>
      </c>
      <c r="H31" s="70">
        <v>3.4513562409598726</v>
      </c>
      <c r="I31" s="18" t="s">
        <v>126</v>
      </c>
      <c r="K31" s="26" t="s">
        <v>69</v>
      </c>
      <c r="L31" s="24"/>
      <c r="M31" s="25">
        <f>SUM(M24:M30)</f>
        <v>26973.232000000004</v>
      </c>
      <c r="N31" s="25">
        <f t="shared" ref="N31:AP31" si="12">SUM(N24:N30)</f>
        <v>27256.033321999999</v>
      </c>
      <c r="O31" s="25">
        <f t="shared" si="12"/>
        <v>27541.867827036844</v>
      </c>
      <c r="P31" s="25">
        <f t="shared" si="12"/>
        <v>27830.76901515092</v>
      </c>
      <c r="Q31" s="25">
        <f t="shared" si="12"/>
        <v>28122.770769805993</v>
      </c>
      <c r="R31" s="25">
        <f t="shared" si="12"/>
        <v>28417.907362458704</v>
      </c>
      <c r="S31" s="25">
        <f t="shared" si="12"/>
        <v>28716.213457184938</v>
      </c>
      <c r="T31" s="25">
        <f t="shared" si="12"/>
        <v>29017.724115363635</v>
      </c>
      <c r="U31" s="25">
        <f t="shared" si="12"/>
        <v>29322.474800418997</v>
      </c>
      <c r="V31" s="25">
        <f t="shared" si="12"/>
        <v>29630.501382621685</v>
      </c>
      <c r="W31" s="25">
        <f t="shared" si="12"/>
        <v>28092.179461351396</v>
      </c>
      <c r="X31" s="25">
        <f t="shared" si="12"/>
        <v>28379.122190173366</v>
      </c>
      <c r="Y31" s="25">
        <f t="shared" si="12"/>
        <v>28669.03474329392</v>
      </c>
      <c r="Z31" s="25">
        <f t="shared" si="12"/>
        <v>28961.948424984941</v>
      </c>
      <c r="AA31" s="25">
        <f t="shared" si="12"/>
        <v>29257.8948776447</v>
      </c>
      <c r="AB31" s="25">
        <f t="shared" si="12"/>
        <v>29556.906085565228</v>
      </c>
      <c r="AC31" s="25">
        <f t="shared" si="12"/>
        <v>29859.014378743275</v>
      </c>
      <c r="AD31" s="25">
        <f t="shared" si="12"/>
        <v>30164.252436735293</v>
      </c>
      <c r="AE31" s="25">
        <f t="shared" si="12"/>
        <v>30472.653292557134</v>
      </c>
      <c r="AF31" s="25">
        <f t="shared" si="12"/>
        <v>30784.250336628804</v>
      </c>
      <c r="AG31" s="25">
        <f t="shared" si="12"/>
        <v>31099.077320765035</v>
      </c>
      <c r="AH31" s="25">
        <f t="shared" si="12"/>
        <v>31417.168362212</v>
      </c>
      <c r="AI31" s="25">
        <f t="shared" si="12"/>
        <v>31738.557947730897</v>
      </c>
      <c r="AJ31" s="25">
        <f t="shared" si="12"/>
        <v>32063.28093772893</v>
      </c>
      <c r="AK31" s="25">
        <f t="shared" si="12"/>
        <v>32391.37257043819</v>
      </c>
      <c r="AL31" s="25">
        <f t="shared" si="12"/>
        <v>32722.86846614314</v>
      </c>
      <c r="AM31" s="25">
        <f t="shared" si="12"/>
        <v>33057.804631457104</v>
      </c>
      <c r="AN31" s="25">
        <f t="shared" si="12"/>
        <v>33396.217463648609</v>
      </c>
      <c r="AO31" s="25">
        <f t="shared" si="12"/>
        <v>33738.143755017991</v>
      </c>
      <c r="AP31" s="25">
        <f t="shared" si="12"/>
        <v>34083.620697324863</v>
      </c>
    </row>
    <row r="32" spans="1:42" x14ac:dyDescent="0.2">
      <c r="A32" s="41" t="s">
        <v>162</v>
      </c>
      <c r="B32" s="42" t="s">
        <v>109</v>
      </c>
      <c r="C32" s="54">
        <v>10</v>
      </c>
      <c r="D32" s="42" t="s">
        <v>22</v>
      </c>
      <c r="F32" s="66" t="s">
        <v>173</v>
      </c>
      <c r="G32" s="67" t="s">
        <v>125</v>
      </c>
      <c r="H32" s="71">
        <v>5.6997757861907354</v>
      </c>
      <c r="I32" s="59" t="s">
        <v>126</v>
      </c>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x14ac:dyDescent="0.2">
      <c r="A33" s="40" t="s">
        <v>107</v>
      </c>
      <c r="B33" s="21" t="s">
        <v>83</v>
      </c>
      <c r="C33" s="37">
        <v>0</v>
      </c>
      <c r="D33" s="21" t="s">
        <v>85</v>
      </c>
      <c r="F33" s="18" t="s">
        <v>201</v>
      </c>
      <c r="G33" s="18"/>
      <c r="H33" s="18"/>
      <c r="I33" s="18"/>
      <c r="K33" s="24" t="s">
        <v>12</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row>
    <row r="34" spans="1:42" x14ac:dyDescent="0.2">
      <c r="A34" s="40"/>
      <c r="B34" s="21" t="s">
        <v>114</v>
      </c>
      <c r="C34" s="28">
        <v>2</v>
      </c>
      <c r="D34" s="21" t="s">
        <v>3</v>
      </c>
      <c r="F34" s="74" t="s">
        <v>183</v>
      </c>
      <c r="G34" s="73"/>
      <c r="H34" s="59"/>
      <c r="I34" s="106"/>
      <c r="K34" s="24" t="s">
        <v>14</v>
      </c>
      <c r="L34" s="24"/>
      <c r="M34" s="25">
        <f t="shared" ref="M34:AP34" si="13">$C43*$C6*(1+$C$45)^L$7</f>
        <v>3986</v>
      </c>
      <c r="N34" s="25">
        <f t="shared" si="13"/>
        <v>4045.7899999999995</v>
      </c>
      <c r="O34" s="25">
        <f t="shared" si="13"/>
        <v>4106.4768499999991</v>
      </c>
      <c r="P34" s="25">
        <f t="shared" si="13"/>
        <v>4168.0740027499987</v>
      </c>
      <c r="Q34" s="25">
        <f t="shared" si="13"/>
        <v>4230.5951127912476</v>
      </c>
      <c r="R34" s="25">
        <f t="shared" si="13"/>
        <v>4294.054039483116</v>
      </c>
      <c r="S34" s="25">
        <f t="shared" si="13"/>
        <v>4358.4648500753619</v>
      </c>
      <c r="T34" s="25">
        <f t="shared" si="13"/>
        <v>4423.8418228264918</v>
      </c>
      <c r="U34" s="25">
        <f t="shared" si="13"/>
        <v>4490.1994501688887</v>
      </c>
      <c r="V34" s="25">
        <f t="shared" si="13"/>
        <v>4557.5524419214216</v>
      </c>
      <c r="W34" s="25">
        <f t="shared" si="13"/>
        <v>4625.9157285502424</v>
      </c>
      <c r="X34" s="25">
        <f t="shared" si="13"/>
        <v>4695.304464478495</v>
      </c>
      <c r="Y34" s="25">
        <f t="shared" si="13"/>
        <v>4765.7340314456715</v>
      </c>
      <c r="Z34" s="25">
        <f t="shared" si="13"/>
        <v>4837.220041917356</v>
      </c>
      <c r="AA34" s="25">
        <f t="shared" si="13"/>
        <v>4909.7783425461157</v>
      </c>
      <c r="AB34" s="25">
        <f t="shared" si="13"/>
        <v>4983.4250176843061</v>
      </c>
      <c r="AC34" s="25">
        <f t="shared" si="13"/>
        <v>5058.1763929495701</v>
      </c>
      <c r="AD34" s="25">
        <f t="shared" si="13"/>
        <v>5134.0490388438129</v>
      </c>
      <c r="AE34" s="25">
        <f t="shared" si="13"/>
        <v>5211.0597744264705</v>
      </c>
      <c r="AF34" s="25">
        <f t="shared" si="13"/>
        <v>5289.2256710428665</v>
      </c>
      <c r="AG34" s="25">
        <f t="shared" si="13"/>
        <v>5368.5640561085083</v>
      </c>
      <c r="AH34" s="25">
        <f t="shared" si="13"/>
        <v>5449.0925169501352</v>
      </c>
      <c r="AI34" s="25">
        <f t="shared" si="13"/>
        <v>5530.8289047043863</v>
      </c>
      <c r="AJ34" s="25">
        <f t="shared" si="13"/>
        <v>5613.7913382749512</v>
      </c>
      <c r="AK34" s="25">
        <f t="shared" si="13"/>
        <v>5697.998208349075</v>
      </c>
      <c r="AL34" s="25">
        <f t="shared" si="13"/>
        <v>5783.4681814743108</v>
      </c>
      <c r="AM34" s="25">
        <f t="shared" si="13"/>
        <v>5870.2202041964247</v>
      </c>
      <c r="AN34" s="25">
        <f t="shared" si="13"/>
        <v>5958.2735072593705</v>
      </c>
      <c r="AO34" s="25">
        <f t="shared" si="13"/>
        <v>6047.6476098682597</v>
      </c>
      <c r="AP34" s="25">
        <f t="shared" si="13"/>
        <v>6138.3623240162833</v>
      </c>
    </row>
    <row r="35" spans="1:42" x14ac:dyDescent="0.2">
      <c r="A35" s="41"/>
      <c r="B35" s="42" t="s">
        <v>84</v>
      </c>
      <c r="C35" s="52">
        <v>0.5</v>
      </c>
      <c r="D35" s="42" t="s">
        <v>6</v>
      </c>
      <c r="F35" s="61" t="s">
        <v>178</v>
      </c>
      <c r="G35" s="18"/>
      <c r="H35" s="92">
        <f>IF(C8&gt;0,(C21-(C8*365*(1-C31)))/12, C21/12)</f>
        <v>24921.55</v>
      </c>
      <c r="I35" s="18" t="s">
        <v>156</v>
      </c>
      <c r="K35" s="24" t="s">
        <v>46</v>
      </c>
      <c r="L35" s="24"/>
      <c r="M35" s="25">
        <f t="shared" ref="M35:AP35" si="14">IF(M7&gt;$C17, 0, IF($C15="Yes", -IPMT($C18, M7, $C17, -$L20), 0))</f>
        <v>0</v>
      </c>
      <c r="N35" s="25">
        <f t="shared" si="14"/>
        <v>0</v>
      </c>
      <c r="O35" s="25">
        <f t="shared" si="14"/>
        <v>0</v>
      </c>
      <c r="P35" s="25">
        <f t="shared" si="14"/>
        <v>0</v>
      </c>
      <c r="Q35" s="25">
        <f t="shared" si="14"/>
        <v>0</v>
      </c>
      <c r="R35" s="25">
        <f t="shared" si="14"/>
        <v>0</v>
      </c>
      <c r="S35" s="25">
        <f t="shared" si="14"/>
        <v>0</v>
      </c>
      <c r="T35" s="25">
        <f t="shared" si="14"/>
        <v>0</v>
      </c>
      <c r="U35" s="25">
        <f t="shared" si="14"/>
        <v>0</v>
      </c>
      <c r="V35" s="25">
        <f t="shared" si="14"/>
        <v>0</v>
      </c>
      <c r="W35" s="25">
        <f t="shared" si="14"/>
        <v>0</v>
      </c>
      <c r="X35" s="25">
        <f t="shared" si="14"/>
        <v>0</v>
      </c>
      <c r="Y35" s="25">
        <f t="shared" si="14"/>
        <v>0</v>
      </c>
      <c r="Z35" s="25">
        <f t="shared" si="14"/>
        <v>0</v>
      </c>
      <c r="AA35" s="25">
        <f t="shared" si="14"/>
        <v>0</v>
      </c>
      <c r="AB35" s="25">
        <f t="shared" si="14"/>
        <v>0</v>
      </c>
      <c r="AC35" s="25">
        <f t="shared" si="14"/>
        <v>0</v>
      </c>
      <c r="AD35" s="25">
        <f t="shared" si="14"/>
        <v>0</v>
      </c>
      <c r="AE35" s="25">
        <f t="shared" si="14"/>
        <v>0</v>
      </c>
      <c r="AF35" s="25">
        <f t="shared" si="14"/>
        <v>0</v>
      </c>
      <c r="AG35" s="25">
        <f t="shared" si="14"/>
        <v>0</v>
      </c>
      <c r="AH35" s="25">
        <f t="shared" si="14"/>
        <v>0</v>
      </c>
      <c r="AI35" s="25">
        <f t="shared" si="14"/>
        <v>0</v>
      </c>
      <c r="AJ35" s="25">
        <f t="shared" si="14"/>
        <v>0</v>
      </c>
      <c r="AK35" s="25">
        <f t="shared" si="14"/>
        <v>0</v>
      </c>
      <c r="AL35" s="25">
        <f t="shared" si="14"/>
        <v>0</v>
      </c>
      <c r="AM35" s="25">
        <f t="shared" si="14"/>
        <v>0</v>
      </c>
      <c r="AN35" s="25">
        <f t="shared" si="14"/>
        <v>0</v>
      </c>
      <c r="AO35" s="25">
        <f t="shared" si="14"/>
        <v>0</v>
      </c>
      <c r="AP35" s="25">
        <f t="shared" si="14"/>
        <v>0</v>
      </c>
    </row>
    <row r="36" spans="1:42" x14ac:dyDescent="0.2">
      <c r="A36" s="40" t="s">
        <v>108</v>
      </c>
      <c r="B36" s="21" t="s">
        <v>97</v>
      </c>
      <c r="C36" s="29">
        <v>0</v>
      </c>
      <c r="D36" s="21" t="s">
        <v>98</v>
      </c>
      <c r="F36" s="61" t="s">
        <v>141</v>
      </c>
      <c r="G36" s="65" t="s">
        <v>142</v>
      </c>
      <c r="H36" s="68">
        <v>195</v>
      </c>
      <c r="I36" s="18" t="s">
        <v>181</v>
      </c>
      <c r="K36" s="24" t="s">
        <v>16</v>
      </c>
      <c r="L36" s="24"/>
      <c r="M36" s="25">
        <f t="shared" ref="M36:AP36" si="15">-$C44*(1+$C$45)^L$7</f>
        <v>0</v>
      </c>
      <c r="N36" s="25">
        <f t="shared" si="15"/>
        <v>0</v>
      </c>
      <c r="O36" s="25">
        <f t="shared" si="15"/>
        <v>0</v>
      </c>
      <c r="P36" s="25">
        <f t="shared" si="15"/>
        <v>0</v>
      </c>
      <c r="Q36" s="25">
        <f t="shared" si="15"/>
        <v>0</v>
      </c>
      <c r="R36" s="25">
        <f t="shared" si="15"/>
        <v>0</v>
      </c>
      <c r="S36" s="25">
        <f t="shared" si="15"/>
        <v>0</v>
      </c>
      <c r="T36" s="25">
        <f t="shared" si="15"/>
        <v>0</v>
      </c>
      <c r="U36" s="25">
        <f t="shared" si="15"/>
        <v>0</v>
      </c>
      <c r="V36" s="25">
        <f t="shared" si="15"/>
        <v>0</v>
      </c>
      <c r="W36" s="25">
        <f t="shared" si="15"/>
        <v>0</v>
      </c>
      <c r="X36" s="25">
        <f t="shared" si="15"/>
        <v>0</v>
      </c>
      <c r="Y36" s="25">
        <f t="shared" si="15"/>
        <v>0</v>
      </c>
      <c r="Z36" s="25">
        <f t="shared" si="15"/>
        <v>0</v>
      </c>
      <c r="AA36" s="25">
        <f t="shared" si="15"/>
        <v>0</v>
      </c>
      <c r="AB36" s="25">
        <f t="shared" si="15"/>
        <v>0</v>
      </c>
      <c r="AC36" s="25">
        <f t="shared" si="15"/>
        <v>0</v>
      </c>
      <c r="AD36" s="25">
        <f t="shared" si="15"/>
        <v>0</v>
      </c>
      <c r="AE36" s="25">
        <f t="shared" si="15"/>
        <v>0</v>
      </c>
      <c r="AF36" s="25">
        <f t="shared" si="15"/>
        <v>0</v>
      </c>
      <c r="AG36" s="25">
        <f t="shared" si="15"/>
        <v>0</v>
      </c>
      <c r="AH36" s="25">
        <f t="shared" si="15"/>
        <v>0</v>
      </c>
      <c r="AI36" s="25">
        <f t="shared" si="15"/>
        <v>0</v>
      </c>
      <c r="AJ36" s="25">
        <f t="shared" si="15"/>
        <v>0</v>
      </c>
      <c r="AK36" s="25">
        <f t="shared" si="15"/>
        <v>0</v>
      </c>
      <c r="AL36" s="25">
        <f t="shared" si="15"/>
        <v>0</v>
      </c>
      <c r="AM36" s="25">
        <f t="shared" si="15"/>
        <v>0</v>
      </c>
      <c r="AN36" s="25">
        <f t="shared" si="15"/>
        <v>0</v>
      </c>
      <c r="AO36" s="25">
        <f t="shared" si="15"/>
        <v>0</v>
      </c>
      <c r="AP36" s="25">
        <f t="shared" si="15"/>
        <v>0</v>
      </c>
    </row>
    <row r="37" spans="1:42" ht="12.75" customHeight="1" x14ac:dyDescent="0.2">
      <c r="A37" s="40"/>
      <c r="B37" s="21"/>
      <c r="C37" s="29">
        <v>0</v>
      </c>
      <c r="D37" s="21" t="s">
        <v>99</v>
      </c>
      <c r="F37" s="61" t="s">
        <v>179</v>
      </c>
      <c r="G37" s="65" t="s">
        <v>144</v>
      </c>
      <c r="H37" s="68">
        <v>616</v>
      </c>
      <c r="I37" s="18" t="s">
        <v>181</v>
      </c>
      <c r="K37" s="24" t="s">
        <v>15</v>
      </c>
      <c r="L37" s="24"/>
      <c r="M37" s="25">
        <f t="shared" ref="M37:AP37" si="16">IF(M7=$C47,$C46*$C9*(1+$C48)^L7, IF(M7=2*$C47,$C46*$C9*(1+$C48)^L7, IF(M7=3*$C47,$C46*$C9*(1+$C48)^L7, 0)))</f>
        <v>0</v>
      </c>
      <c r="N37" s="25">
        <f t="shared" si="16"/>
        <v>0</v>
      </c>
      <c r="O37" s="25">
        <f t="shared" si="16"/>
        <v>0</v>
      </c>
      <c r="P37" s="25">
        <f t="shared" si="16"/>
        <v>0</v>
      </c>
      <c r="Q37" s="25">
        <f t="shared" si="16"/>
        <v>0</v>
      </c>
      <c r="R37" s="25">
        <f t="shared" si="16"/>
        <v>0</v>
      </c>
      <c r="S37" s="25">
        <f t="shared" si="16"/>
        <v>0</v>
      </c>
      <c r="T37" s="25">
        <f t="shared" si="16"/>
        <v>0</v>
      </c>
      <c r="U37" s="25">
        <f t="shared" si="16"/>
        <v>0</v>
      </c>
      <c r="V37" s="25">
        <f t="shared" si="16"/>
        <v>0</v>
      </c>
      <c r="W37" s="25">
        <f t="shared" si="16"/>
        <v>0</v>
      </c>
      <c r="X37" s="25">
        <f t="shared" si="16"/>
        <v>0</v>
      </c>
      <c r="Y37" s="25">
        <f t="shared" si="16"/>
        <v>0</v>
      </c>
      <c r="Z37" s="25">
        <f t="shared" si="16"/>
        <v>0</v>
      </c>
      <c r="AA37" s="25">
        <f t="shared" si="16"/>
        <v>0</v>
      </c>
      <c r="AB37" s="25">
        <f t="shared" si="16"/>
        <v>0</v>
      </c>
      <c r="AC37" s="25">
        <f t="shared" si="16"/>
        <v>0</v>
      </c>
      <c r="AD37" s="25">
        <f t="shared" si="16"/>
        <v>0</v>
      </c>
      <c r="AE37" s="25">
        <f t="shared" si="16"/>
        <v>0</v>
      </c>
      <c r="AF37" s="25">
        <f t="shared" si="16"/>
        <v>0</v>
      </c>
      <c r="AG37" s="25">
        <f t="shared" si="16"/>
        <v>0</v>
      </c>
      <c r="AH37" s="25">
        <f t="shared" si="16"/>
        <v>0</v>
      </c>
      <c r="AI37" s="25">
        <f t="shared" si="16"/>
        <v>0</v>
      </c>
      <c r="AJ37" s="25">
        <f t="shared" si="16"/>
        <v>0</v>
      </c>
      <c r="AK37" s="25">
        <f t="shared" si="16"/>
        <v>0</v>
      </c>
      <c r="AL37" s="25">
        <f t="shared" si="16"/>
        <v>0</v>
      </c>
      <c r="AM37" s="25">
        <f t="shared" si="16"/>
        <v>0</v>
      </c>
      <c r="AN37" s="25">
        <f t="shared" si="16"/>
        <v>0</v>
      </c>
      <c r="AO37" s="25">
        <f t="shared" si="16"/>
        <v>0</v>
      </c>
      <c r="AP37" s="25">
        <f t="shared" si="16"/>
        <v>0</v>
      </c>
    </row>
    <row r="38" spans="1:42" x14ac:dyDescent="0.2">
      <c r="A38" s="41"/>
      <c r="B38" s="42"/>
      <c r="C38" s="49">
        <v>0</v>
      </c>
      <c r="D38" s="42" t="s">
        <v>100</v>
      </c>
      <c r="F38" s="66" t="s">
        <v>180</v>
      </c>
      <c r="G38" s="67" t="s">
        <v>143</v>
      </c>
      <c r="H38" s="72">
        <v>365873</v>
      </c>
      <c r="I38" s="59" t="s">
        <v>181</v>
      </c>
      <c r="K38" s="24" t="s">
        <v>29</v>
      </c>
      <c r="L38" s="24"/>
      <c r="M38" s="47">
        <f>IF($C49="None", 0, IF($C49="MACRS",#REF!*- $C$50, 0))</f>
        <v>0</v>
      </c>
      <c r="N38" s="47">
        <f>IF($C49="None", 0, IF($C49="MACRS",#REF!*- $C$50, 0))</f>
        <v>0</v>
      </c>
      <c r="O38" s="47">
        <f>IF($C49="None", 0, IF($C49="MACRS",#REF!*- $C$50, 0))</f>
        <v>0</v>
      </c>
      <c r="P38" s="47">
        <f>IF($C49="None", 0, IF($C49="MACRS",#REF!*- $C$50, 0))</f>
        <v>0</v>
      </c>
      <c r="Q38" s="47">
        <f>IF($C49="None", 0, IF($C49="MACRS",#REF!*- $C$50, 0))</f>
        <v>0</v>
      </c>
      <c r="R38" s="47">
        <f>IF($C49="None", 0, IF($C49="MACRS",#REF!*- $C$50, 0))</f>
        <v>0</v>
      </c>
      <c r="S38" s="47">
        <f>IF($C49="None", 0, IF($C49="MACRS",#REF!*- $C$50, 0))</f>
        <v>0</v>
      </c>
      <c r="T38" s="47">
        <f>IF($C49="None", 0, IF($C49="MACRS",#REF!*- $C$50, 0))</f>
        <v>0</v>
      </c>
      <c r="U38" s="47">
        <f>IF($C49="None", 0, IF($C49="MACRS",#REF!*- $C$50, 0))</f>
        <v>0</v>
      </c>
      <c r="V38" s="47">
        <f>IF($C49="None", 0, IF($C49="MACRS",#REF!*- $C$50, 0))</f>
        <v>0</v>
      </c>
      <c r="W38" s="47">
        <f>IF($C49="None", 0, IF($C49="MACRS",#REF!*- $C$50, 0))</f>
        <v>0</v>
      </c>
      <c r="X38" s="47">
        <f>IF($C49="None", 0, IF($C49="MACRS",#REF!*- $C$50, 0))</f>
        <v>0</v>
      </c>
      <c r="Y38" s="47">
        <f>IF($C49="None", 0, IF($C49="MACRS",#REF!*- $C$50, 0))</f>
        <v>0</v>
      </c>
      <c r="Z38" s="47">
        <f>IF($C49="None", 0, IF($C49="MACRS",#REF!*- $C$50, 0))</f>
        <v>0</v>
      </c>
      <c r="AA38" s="47">
        <f>IF($C49="None", 0, IF($C49="MACRS",#REF!*- $C$50, 0))</f>
        <v>0</v>
      </c>
      <c r="AB38" s="47">
        <f>IF($C49="None", 0, IF($C49="MACRS",#REF!*- $C$50, 0))</f>
        <v>0</v>
      </c>
      <c r="AC38" s="47">
        <f>IF($C49="None", 0, IF($C49="MACRS",#REF!*- $C$50, 0))</f>
        <v>0</v>
      </c>
      <c r="AD38" s="47">
        <f>IF($C49="None", 0, IF($C49="MACRS",#REF!*- $C$50, 0))</f>
        <v>0</v>
      </c>
      <c r="AE38" s="47">
        <f>IF($C49="None", 0, IF($C49="MACRS",#REF!*- $C$50, 0))</f>
        <v>0</v>
      </c>
      <c r="AF38" s="47">
        <f>IF($C49="None", 0, IF($C49="MACRS",#REF!*- $C$50, 0))</f>
        <v>0</v>
      </c>
      <c r="AG38" s="47">
        <f>IF($C49="None", 0, IF($C49="MACRS",#REF!*- $C$50, 0))</f>
        <v>0</v>
      </c>
      <c r="AH38" s="47">
        <f>IF($C49="None", 0, IF($C49="MACRS",#REF!*- $C$50, 0))</f>
        <v>0</v>
      </c>
      <c r="AI38" s="47">
        <f>IF($C49="None", 0, IF($C49="MACRS",#REF!*- $C$50, 0))</f>
        <v>0</v>
      </c>
      <c r="AJ38" s="47">
        <f>IF($C49="None", 0, IF($C49="MACRS",#REF!*- $C$50, 0))</f>
        <v>0</v>
      </c>
      <c r="AK38" s="47">
        <f>IF($C49="None", 0, IF($C49="MACRS",#REF!*- $C$50, 0))</f>
        <v>0</v>
      </c>
      <c r="AL38" s="47">
        <f>IF($C49="None", 0, IF($C49="MACRS",#REF!*- $C$50, 0))</f>
        <v>0</v>
      </c>
      <c r="AM38" s="47">
        <f>IF($C49="None", 0, IF($C49="MACRS",#REF!*- $C$50, 0))</f>
        <v>0</v>
      </c>
      <c r="AN38" s="47">
        <f>IF($C49="None", 0, IF($C49="MACRS",#REF!*- $C$50, 0))</f>
        <v>0</v>
      </c>
      <c r="AO38" s="47">
        <f>IF($C49="None", 0, IF($C49="MACRS",#REF!*- $C$50, 0))</f>
        <v>0</v>
      </c>
      <c r="AP38" s="47">
        <f>IF($C49="None", 0, IF($C49="MACRS",#REF!*- $C$50, 0))</f>
        <v>0</v>
      </c>
    </row>
    <row r="39" spans="1:42" x14ac:dyDescent="0.2">
      <c r="A39" s="43" t="s">
        <v>71</v>
      </c>
      <c r="B39" s="111" t="s">
        <v>214</v>
      </c>
      <c r="C39" s="48">
        <v>0</v>
      </c>
      <c r="D39" s="42" t="s">
        <v>3</v>
      </c>
      <c r="F39" s="65" t="s">
        <v>202</v>
      </c>
      <c r="G39" s="61"/>
      <c r="H39" s="18"/>
      <c r="I39" s="18"/>
      <c r="K39" s="26" t="s">
        <v>37</v>
      </c>
      <c r="L39" s="24"/>
      <c r="M39" s="25">
        <f>-SUM(M34:M38)</f>
        <v>-3986</v>
      </c>
      <c r="N39" s="25">
        <f t="shared" ref="N39:AP39" si="17">-SUM(N34:N38)</f>
        <v>-4045.7899999999995</v>
      </c>
      <c r="O39" s="25">
        <f t="shared" si="17"/>
        <v>-4106.4768499999991</v>
      </c>
      <c r="P39" s="25">
        <f t="shared" si="17"/>
        <v>-4168.0740027499987</v>
      </c>
      <c r="Q39" s="25">
        <f t="shared" si="17"/>
        <v>-4230.5951127912476</v>
      </c>
      <c r="R39" s="25">
        <f t="shared" si="17"/>
        <v>-4294.054039483116</v>
      </c>
      <c r="S39" s="25">
        <f t="shared" si="17"/>
        <v>-4358.4648500753619</v>
      </c>
      <c r="T39" s="25">
        <f t="shared" si="17"/>
        <v>-4423.8418228264918</v>
      </c>
      <c r="U39" s="25">
        <f t="shared" si="17"/>
        <v>-4490.1994501688887</v>
      </c>
      <c r="V39" s="25">
        <f t="shared" si="17"/>
        <v>-4557.5524419214216</v>
      </c>
      <c r="W39" s="25">
        <f t="shared" si="17"/>
        <v>-4625.9157285502424</v>
      </c>
      <c r="X39" s="25">
        <f t="shared" si="17"/>
        <v>-4695.304464478495</v>
      </c>
      <c r="Y39" s="25">
        <f t="shared" si="17"/>
        <v>-4765.7340314456715</v>
      </c>
      <c r="Z39" s="25">
        <f t="shared" si="17"/>
        <v>-4837.220041917356</v>
      </c>
      <c r="AA39" s="25">
        <f t="shared" si="17"/>
        <v>-4909.7783425461157</v>
      </c>
      <c r="AB39" s="25">
        <f t="shared" si="17"/>
        <v>-4983.4250176843061</v>
      </c>
      <c r="AC39" s="25">
        <f t="shared" si="17"/>
        <v>-5058.1763929495701</v>
      </c>
      <c r="AD39" s="25">
        <f t="shared" si="17"/>
        <v>-5134.0490388438129</v>
      </c>
      <c r="AE39" s="25">
        <f t="shared" si="17"/>
        <v>-5211.0597744264705</v>
      </c>
      <c r="AF39" s="25">
        <f t="shared" si="17"/>
        <v>-5289.2256710428665</v>
      </c>
      <c r="AG39" s="25">
        <f t="shared" si="17"/>
        <v>-5368.5640561085083</v>
      </c>
      <c r="AH39" s="25">
        <f t="shared" si="17"/>
        <v>-5449.0925169501352</v>
      </c>
      <c r="AI39" s="25">
        <f t="shared" si="17"/>
        <v>-5530.8289047043863</v>
      </c>
      <c r="AJ39" s="25">
        <f t="shared" si="17"/>
        <v>-5613.7913382749512</v>
      </c>
      <c r="AK39" s="25">
        <f t="shared" si="17"/>
        <v>-5697.998208349075</v>
      </c>
      <c r="AL39" s="25">
        <f t="shared" si="17"/>
        <v>-5783.4681814743108</v>
      </c>
      <c r="AM39" s="25">
        <f t="shared" si="17"/>
        <v>-5870.2202041964247</v>
      </c>
      <c r="AN39" s="25">
        <f t="shared" si="17"/>
        <v>-5958.2735072593705</v>
      </c>
      <c r="AO39" s="25">
        <f t="shared" si="17"/>
        <v>-6047.6476098682597</v>
      </c>
      <c r="AP39" s="25">
        <f t="shared" si="17"/>
        <v>-6138.3623240162833</v>
      </c>
    </row>
    <row r="40" spans="1:42" x14ac:dyDescent="0.2">
      <c r="A40" s="40" t="s">
        <v>82</v>
      </c>
      <c r="B40" s="21" t="s">
        <v>32</v>
      </c>
      <c r="C40" s="29">
        <v>0</v>
      </c>
      <c r="D40" s="21" t="s">
        <v>33</v>
      </c>
      <c r="F40" s="77" t="s">
        <v>182</v>
      </c>
      <c r="G40" s="78"/>
      <c r="H40" s="59"/>
      <c r="I40" s="106"/>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x14ac:dyDescent="0.2">
      <c r="A41" s="40"/>
      <c r="B41" s="21"/>
      <c r="C41" s="29">
        <v>0</v>
      </c>
      <c r="D41" s="21" t="s">
        <v>34</v>
      </c>
      <c r="F41" s="61" t="s">
        <v>179</v>
      </c>
      <c r="G41" s="65" t="s">
        <v>145</v>
      </c>
      <c r="H41" s="75">
        <v>397742</v>
      </c>
      <c r="I41" s="18" t="s">
        <v>146</v>
      </c>
      <c r="K41" s="24" t="s">
        <v>38</v>
      </c>
      <c r="L41" s="24"/>
      <c r="M41" s="25">
        <f t="shared" ref="M41:AP41" si="18">M31+M39</f>
        <v>22987.232000000004</v>
      </c>
      <c r="N41" s="25">
        <f t="shared" si="18"/>
        <v>23210.243321999998</v>
      </c>
      <c r="O41" s="25">
        <f t="shared" si="18"/>
        <v>23435.390977036845</v>
      </c>
      <c r="P41" s="25">
        <f t="shared" si="18"/>
        <v>23662.69501240092</v>
      </c>
      <c r="Q41" s="25">
        <f t="shared" si="18"/>
        <v>23892.175657014745</v>
      </c>
      <c r="R41" s="25">
        <f t="shared" si="18"/>
        <v>24123.853322975589</v>
      </c>
      <c r="S41" s="25">
        <f t="shared" si="18"/>
        <v>24357.748607109577</v>
      </c>
      <c r="T41" s="25">
        <f t="shared" si="18"/>
        <v>24593.882292537142</v>
      </c>
      <c r="U41" s="25">
        <f t="shared" si="18"/>
        <v>24832.275350250107</v>
      </c>
      <c r="V41" s="25">
        <f t="shared" si="18"/>
        <v>25072.948940700262</v>
      </c>
      <c r="W41" s="25">
        <f t="shared" si="18"/>
        <v>23466.263732801155</v>
      </c>
      <c r="X41" s="25">
        <f t="shared" si="18"/>
        <v>23683.817725694869</v>
      </c>
      <c r="Y41" s="25">
        <f t="shared" si="18"/>
        <v>23903.300711848249</v>
      </c>
      <c r="Z41" s="25">
        <f t="shared" si="18"/>
        <v>24124.728383067584</v>
      </c>
      <c r="AA41" s="25">
        <f t="shared" si="18"/>
        <v>24348.116535098583</v>
      </c>
      <c r="AB41" s="25">
        <f t="shared" si="18"/>
        <v>24573.481067880923</v>
      </c>
      <c r="AC41" s="25">
        <f t="shared" si="18"/>
        <v>24800.837985793703</v>
      </c>
      <c r="AD41" s="25">
        <f t="shared" si="18"/>
        <v>25030.203397891481</v>
      </c>
      <c r="AE41" s="25">
        <f t="shared" si="18"/>
        <v>25261.593518130663</v>
      </c>
      <c r="AF41" s="25">
        <f t="shared" si="18"/>
        <v>25495.024665585937</v>
      </c>
      <c r="AG41" s="25">
        <f t="shared" si="18"/>
        <v>25730.513264656525</v>
      </c>
      <c r="AH41" s="25">
        <f t="shared" si="18"/>
        <v>25968.075845261865</v>
      </c>
      <c r="AI41" s="25">
        <f t="shared" si="18"/>
        <v>26207.729043026509</v>
      </c>
      <c r="AJ41" s="25">
        <f t="shared" si="18"/>
        <v>26449.48959945398</v>
      </c>
      <c r="AK41" s="25">
        <f t="shared" si="18"/>
        <v>26693.374362089115</v>
      </c>
      <c r="AL41" s="25">
        <f t="shared" si="18"/>
        <v>26939.400284668831</v>
      </c>
      <c r="AM41" s="25">
        <f t="shared" si="18"/>
        <v>27187.584427260677</v>
      </c>
      <c r="AN41" s="25">
        <f t="shared" si="18"/>
        <v>27437.943956389237</v>
      </c>
      <c r="AO41" s="25">
        <f t="shared" si="18"/>
        <v>27690.496145149729</v>
      </c>
      <c r="AP41" s="25">
        <f t="shared" si="18"/>
        <v>27945.258373308578</v>
      </c>
    </row>
    <row r="42" spans="1:42" x14ac:dyDescent="0.2">
      <c r="A42" s="41"/>
      <c r="B42" s="42"/>
      <c r="C42" s="49">
        <v>0</v>
      </c>
      <c r="D42" s="42" t="s">
        <v>35</v>
      </c>
      <c r="F42" s="61" t="s">
        <v>184</v>
      </c>
      <c r="G42" s="65" t="s">
        <v>147</v>
      </c>
      <c r="H42" s="76">
        <v>24.5</v>
      </c>
      <c r="I42" s="18" t="s">
        <v>157</v>
      </c>
      <c r="K42" s="24" t="s">
        <v>50</v>
      </c>
      <c r="L42" s="24"/>
      <c r="M42" s="47">
        <f t="shared" ref="M42:AP42" si="19">IF($C52="No", 0, -$C51*M41)</f>
        <v>0</v>
      </c>
      <c r="N42" s="47">
        <f t="shared" si="19"/>
        <v>0</v>
      </c>
      <c r="O42" s="47">
        <f t="shared" si="19"/>
        <v>0</v>
      </c>
      <c r="P42" s="47">
        <f t="shared" si="19"/>
        <v>0</v>
      </c>
      <c r="Q42" s="47">
        <f t="shared" si="19"/>
        <v>0</v>
      </c>
      <c r="R42" s="47">
        <f t="shared" si="19"/>
        <v>0</v>
      </c>
      <c r="S42" s="47">
        <f t="shared" si="19"/>
        <v>0</v>
      </c>
      <c r="T42" s="47">
        <f t="shared" si="19"/>
        <v>0</v>
      </c>
      <c r="U42" s="47">
        <f t="shared" si="19"/>
        <v>0</v>
      </c>
      <c r="V42" s="47">
        <f t="shared" si="19"/>
        <v>0</v>
      </c>
      <c r="W42" s="47">
        <f t="shared" si="19"/>
        <v>0</v>
      </c>
      <c r="X42" s="47">
        <f t="shared" si="19"/>
        <v>0</v>
      </c>
      <c r="Y42" s="47">
        <f t="shared" si="19"/>
        <v>0</v>
      </c>
      <c r="Z42" s="47">
        <f t="shared" si="19"/>
        <v>0</v>
      </c>
      <c r="AA42" s="47">
        <f t="shared" si="19"/>
        <v>0</v>
      </c>
      <c r="AB42" s="47">
        <f t="shared" si="19"/>
        <v>0</v>
      </c>
      <c r="AC42" s="47">
        <f t="shared" si="19"/>
        <v>0</v>
      </c>
      <c r="AD42" s="47">
        <f t="shared" si="19"/>
        <v>0</v>
      </c>
      <c r="AE42" s="47">
        <f t="shared" si="19"/>
        <v>0</v>
      </c>
      <c r="AF42" s="47">
        <f t="shared" si="19"/>
        <v>0</v>
      </c>
      <c r="AG42" s="47">
        <f t="shared" si="19"/>
        <v>0</v>
      </c>
      <c r="AH42" s="47">
        <f t="shared" si="19"/>
        <v>0</v>
      </c>
      <c r="AI42" s="47">
        <f t="shared" si="19"/>
        <v>0</v>
      </c>
      <c r="AJ42" s="47">
        <f t="shared" si="19"/>
        <v>0</v>
      </c>
      <c r="AK42" s="47">
        <f t="shared" si="19"/>
        <v>0</v>
      </c>
      <c r="AL42" s="47">
        <f t="shared" si="19"/>
        <v>0</v>
      </c>
      <c r="AM42" s="47">
        <f t="shared" si="19"/>
        <v>0</v>
      </c>
      <c r="AN42" s="47">
        <f t="shared" si="19"/>
        <v>0</v>
      </c>
      <c r="AO42" s="47">
        <f t="shared" si="19"/>
        <v>0</v>
      </c>
      <c r="AP42" s="47">
        <f t="shared" si="19"/>
        <v>0</v>
      </c>
    </row>
    <row r="43" spans="1:42" x14ac:dyDescent="0.2">
      <c r="A43" s="40" t="s">
        <v>12</v>
      </c>
      <c r="B43" s="21" t="s">
        <v>120</v>
      </c>
      <c r="C43" s="35">
        <v>19.93</v>
      </c>
      <c r="D43" s="21" t="s">
        <v>121</v>
      </c>
      <c r="F43" s="61" t="s">
        <v>185</v>
      </c>
      <c r="G43" s="65" t="s">
        <v>148</v>
      </c>
      <c r="H43" s="75">
        <v>4301</v>
      </c>
      <c r="I43" s="18" t="s">
        <v>149</v>
      </c>
      <c r="K43" s="24" t="s">
        <v>52</v>
      </c>
      <c r="L43" s="24"/>
      <c r="M43" s="25">
        <f>SUM(M41:M42)</f>
        <v>22987.232000000004</v>
      </c>
      <c r="N43" s="25">
        <f t="shared" ref="N43:AP43" si="20">SUM(N41:N42)</f>
        <v>23210.243321999998</v>
      </c>
      <c r="O43" s="25">
        <f t="shared" si="20"/>
        <v>23435.390977036845</v>
      </c>
      <c r="P43" s="25">
        <f t="shared" si="20"/>
        <v>23662.69501240092</v>
      </c>
      <c r="Q43" s="25">
        <f t="shared" si="20"/>
        <v>23892.175657014745</v>
      </c>
      <c r="R43" s="25">
        <f t="shared" si="20"/>
        <v>24123.853322975589</v>
      </c>
      <c r="S43" s="25">
        <f t="shared" si="20"/>
        <v>24357.748607109577</v>
      </c>
      <c r="T43" s="25">
        <f t="shared" si="20"/>
        <v>24593.882292537142</v>
      </c>
      <c r="U43" s="25">
        <f t="shared" si="20"/>
        <v>24832.275350250107</v>
      </c>
      <c r="V43" s="25">
        <f t="shared" si="20"/>
        <v>25072.948940700262</v>
      </c>
      <c r="W43" s="25">
        <f t="shared" si="20"/>
        <v>23466.263732801155</v>
      </c>
      <c r="X43" s="25">
        <f t="shared" si="20"/>
        <v>23683.817725694869</v>
      </c>
      <c r="Y43" s="25">
        <f t="shared" si="20"/>
        <v>23903.300711848249</v>
      </c>
      <c r="Z43" s="25">
        <f t="shared" si="20"/>
        <v>24124.728383067584</v>
      </c>
      <c r="AA43" s="25">
        <f t="shared" si="20"/>
        <v>24348.116535098583</v>
      </c>
      <c r="AB43" s="25">
        <f t="shared" si="20"/>
        <v>24573.481067880923</v>
      </c>
      <c r="AC43" s="25">
        <f t="shared" si="20"/>
        <v>24800.837985793703</v>
      </c>
      <c r="AD43" s="25">
        <f t="shared" si="20"/>
        <v>25030.203397891481</v>
      </c>
      <c r="AE43" s="25">
        <f t="shared" si="20"/>
        <v>25261.593518130663</v>
      </c>
      <c r="AF43" s="25">
        <f t="shared" si="20"/>
        <v>25495.024665585937</v>
      </c>
      <c r="AG43" s="25">
        <f t="shared" si="20"/>
        <v>25730.513264656525</v>
      </c>
      <c r="AH43" s="25">
        <f t="shared" si="20"/>
        <v>25968.075845261865</v>
      </c>
      <c r="AI43" s="25">
        <f t="shared" si="20"/>
        <v>26207.729043026509</v>
      </c>
      <c r="AJ43" s="25">
        <f t="shared" si="20"/>
        <v>26449.48959945398</v>
      </c>
      <c r="AK43" s="25">
        <f t="shared" si="20"/>
        <v>26693.374362089115</v>
      </c>
      <c r="AL43" s="25">
        <f t="shared" si="20"/>
        <v>26939.400284668831</v>
      </c>
      <c r="AM43" s="25">
        <f t="shared" si="20"/>
        <v>27187.584427260677</v>
      </c>
      <c r="AN43" s="25">
        <f t="shared" si="20"/>
        <v>27437.943956389237</v>
      </c>
      <c r="AO43" s="25">
        <f t="shared" si="20"/>
        <v>27690.496145149729</v>
      </c>
      <c r="AP43" s="25">
        <f t="shared" si="20"/>
        <v>27945.258373308578</v>
      </c>
    </row>
    <row r="44" spans="1:42" x14ac:dyDescent="0.2">
      <c r="A44" s="40"/>
      <c r="B44" s="21" t="s">
        <v>17</v>
      </c>
      <c r="C44" s="28">
        <v>0</v>
      </c>
      <c r="D44" s="21" t="s">
        <v>18</v>
      </c>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row>
    <row r="45" spans="1:42" x14ac:dyDescent="0.2">
      <c r="A45" s="40"/>
      <c r="B45" s="21" t="s">
        <v>117</v>
      </c>
      <c r="C45" s="36">
        <v>1.4999999999999999E-2</v>
      </c>
      <c r="D45" s="21" t="s">
        <v>20</v>
      </c>
      <c r="F45" s="1"/>
      <c r="G45" s="1"/>
      <c r="K45" s="24" t="s">
        <v>53</v>
      </c>
      <c r="L45" s="24"/>
      <c r="M45" s="25">
        <f t="shared" ref="M45:AP45" si="21">-M38</f>
        <v>0</v>
      </c>
      <c r="N45" s="25">
        <f t="shared" si="21"/>
        <v>0</v>
      </c>
      <c r="O45" s="25">
        <f t="shared" si="21"/>
        <v>0</v>
      </c>
      <c r="P45" s="25">
        <f t="shared" si="21"/>
        <v>0</v>
      </c>
      <c r="Q45" s="25">
        <f t="shared" si="21"/>
        <v>0</v>
      </c>
      <c r="R45" s="25">
        <f t="shared" si="21"/>
        <v>0</v>
      </c>
      <c r="S45" s="25">
        <f t="shared" si="21"/>
        <v>0</v>
      </c>
      <c r="T45" s="25">
        <f t="shared" si="21"/>
        <v>0</v>
      </c>
      <c r="U45" s="25">
        <f t="shared" si="21"/>
        <v>0</v>
      </c>
      <c r="V45" s="25">
        <f t="shared" si="21"/>
        <v>0</v>
      </c>
      <c r="W45" s="25">
        <f t="shared" si="21"/>
        <v>0</v>
      </c>
      <c r="X45" s="25">
        <f t="shared" si="21"/>
        <v>0</v>
      </c>
      <c r="Y45" s="25">
        <f t="shared" si="21"/>
        <v>0</v>
      </c>
      <c r="Z45" s="25">
        <f t="shared" si="21"/>
        <v>0</v>
      </c>
      <c r="AA45" s="25">
        <f t="shared" si="21"/>
        <v>0</v>
      </c>
      <c r="AB45" s="25">
        <f t="shared" si="21"/>
        <v>0</v>
      </c>
      <c r="AC45" s="25">
        <f t="shared" si="21"/>
        <v>0</v>
      </c>
      <c r="AD45" s="25">
        <f t="shared" si="21"/>
        <v>0</v>
      </c>
      <c r="AE45" s="25">
        <f t="shared" si="21"/>
        <v>0</v>
      </c>
      <c r="AF45" s="25">
        <f t="shared" si="21"/>
        <v>0</v>
      </c>
      <c r="AG45" s="25">
        <f t="shared" si="21"/>
        <v>0</v>
      </c>
      <c r="AH45" s="25">
        <f t="shared" si="21"/>
        <v>0</v>
      </c>
      <c r="AI45" s="25">
        <f t="shared" si="21"/>
        <v>0</v>
      </c>
      <c r="AJ45" s="25">
        <f t="shared" si="21"/>
        <v>0</v>
      </c>
      <c r="AK45" s="25">
        <f t="shared" si="21"/>
        <v>0</v>
      </c>
      <c r="AL45" s="25">
        <f t="shared" si="21"/>
        <v>0</v>
      </c>
      <c r="AM45" s="25">
        <f t="shared" si="21"/>
        <v>0</v>
      </c>
      <c r="AN45" s="25">
        <f t="shared" si="21"/>
        <v>0</v>
      </c>
      <c r="AO45" s="25">
        <f t="shared" si="21"/>
        <v>0</v>
      </c>
      <c r="AP45" s="25">
        <f t="shared" si="21"/>
        <v>0</v>
      </c>
    </row>
    <row r="46" spans="1:42" x14ac:dyDescent="0.2">
      <c r="A46" s="40"/>
      <c r="B46" s="21" t="s">
        <v>23</v>
      </c>
      <c r="C46" s="32">
        <v>0</v>
      </c>
      <c r="D46" s="21" t="s">
        <v>24</v>
      </c>
      <c r="K46" s="24" t="s">
        <v>54</v>
      </c>
      <c r="L46" s="24"/>
      <c r="M46" s="25">
        <f t="shared" ref="M46:AP46" si="22">IF(M7&gt;$C17, 0, IF($C15="Yes", -PPMT($C18, M7, $C17, -$L20), 0))</f>
        <v>0</v>
      </c>
      <c r="N46" s="25">
        <f t="shared" si="22"/>
        <v>0</v>
      </c>
      <c r="O46" s="25">
        <f t="shared" si="22"/>
        <v>0</v>
      </c>
      <c r="P46" s="25">
        <f t="shared" si="22"/>
        <v>0</v>
      </c>
      <c r="Q46" s="25">
        <f t="shared" si="22"/>
        <v>0</v>
      </c>
      <c r="R46" s="25">
        <f t="shared" si="22"/>
        <v>0</v>
      </c>
      <c r="S46" s="25">
        <f t="shared" si="22"/>
        <v>0</v>
      </c>
      <c r="T46" s="25">
        <f t="shared" si="22"/>
        <v>0</v>
      </c>
      <c r="U46" s="25">
        <f t="shared" si="22"/>
        <v>0</v>
      </c>
      <c r="V46" s="25">
        <f t="shared" si="22"/>
        <v>0</v>
      </c>
      <c r="W46" s="25">
        <f t="shared" si="22"/>
        <v>0</v>
      </c>
      <c r="X46" s="25">
        <f t="shared" si="22"/>
        <v>0</v>
      </c>
      <c r="Y46" s="25">
        <f t="shared" si="22"/>
        <v>0</v>
      </c>
      <c r="Z46" s="25">
        <f t="shared" si="22"/>
        <v>0</v>
      </c>
      <c r="AA46" s="25">
        <f t="shared" si="22"/>
        <v>0</v>
      </c>
      <c r="AB46" s="25">
        <f t="shared" si="22"/>
        <v>0</v>
      </c>
      <c r="AC46" s="25">
        <f t="shared" si="22"/>
        <v>0</v>
      </c>
      <c r="AD46" s="25">
        <f t="shared" si="22"/>
        <v>0</v>
      </c>
      <c r="AE46" s="25">
        <f t="shared" si="22"/>
        <v>0</v>
      </c>
      <c r="AF46" s="25">
        <f t="shared" si="22"/>
        <v>0</v>
      </c>
      <c r="AG46" s="25">
        <f t="shared" si="22"/>
        <v>0</v>
      </c>
      <c r="AH46" s="25">
        <f t="shared" si="22"/>
        <v>0</v>
      </c>
      <c r="AI46" s="25">
        <f t="shared" si="22"/>
        <v>0</v>
      </c>
      <c r="AJ46" s="25">
        <f t="shared" si="22"/>
        <v>0</v>
      </c>
      <c r="AK46" s="25">
        <f t="shared" si="22"/>
        <v>0</v>
      </c>
      <c r="AL46" s="25">
        <f t="shared" si="22"/>
        <v>0</v>
      </c>
      <c r="AM46" s="25">
        <f t="shared" si="22"/>
        <v>0</v>
      </c>
      <c r="AN46" s="25">
        <f t="shared" si="22"/>
        <v>0</v>
      </c>
      <c r="AO46" s="25">
        <f t="shared" si="22"/>
        <v>0</v>
      </c>
      <c r="AP46" s="25">
        <f t="shared" si="22"/>
        <v>0</v>
      </c>
    </row>
    <row r="47" spans="1:42" x14ac:dyDescent="0.2">
      <c r="A47" s="40"/>
      <c r="B47" s="21" t="s">
        <v>21</v>
      </c>
      <c r="C47" s="38">
        <v>10</v>
      </c>
      <c r="D47" s="21" t="s">
        <v>22</v>
      </c>
      <c r="K47" s="24" t="s">
        <v>62</v>
      </c>
      <c r="L47" s="25">
        <f t="shared" ref="L47:AP47" si="23">SUM(L43:L46)+L21</f>
        <v>-376000</v>
      </c>
      <c r="M47" s="25">
        <f t="shared" si="23"/>
        <v>22987.532000000003</v>
      </c>
      <c r="N47" s="25">
        <f t="shared" si="23"/>
        <v>23210.243321999998</v>
      </c>
      <c r="O47" s="25">
        <f t="shared" si="23"/>
        <v>23435.390977036845</v>
      </c>
      <c r="P47" s="25">
        <f t="shared" si="23"/>
        <v>23662.69501240092</v>
      </c>
      <c r="Q47" s="25">
        <f t="shared" si="23"/>
        <v>23892.175657014745</v>
      </c>
      <c r="R47" s="25">
        <f t="shared" si="23"/>
        <v>24123.853322975589</v>
      </c>
      <c r="S47" s="25">
        <f t="shared" si="23"/>
        <v>24357.748607109577</v>
      </c>
      <c r="T47" s="25">
        <f t="shared" si="23"/>
        <v>24593.882292537142</v>
      </c>
      <c r="U47" s="25">
        <f t="shared" si="23"/>
        <v>24832.275350250107</v>
      </c>
      <c r="V47" s="25">
        <f t="shared" si="23"/>
        <v>25072.948940700262</v>
      </c>
      <c r="W47" s="25">
        <f t="shared" si="23"/>
        <v>23466.263732801155</v>
      </c>
      <c r="X47" s="25">
        <f t="shared" si="23"/>
        <v>23683.817725694869</v>
      </c>
      <c r="Y47" s="25">
        <f t="shared" si="23"/>
        <v>23903.300711848249</v>
      </c>
      <c r="Z47" s="25">
        <f t="shared" si="23"/>
        <v>24124.728383067584</v>
      </c>
      <c r="AA47" s="25">
        <f t="shared" si="23"/>
        <v>24348.116535098583</v>
      </c>
      <c r="AB47" s="25">
        <f t="shared" si="23"/>
        <v>24573.481067880923</v>
      </c>
      <c r="AC47" s="25">
        <f t="shared" si="23"/>
        <v>24800.837985793703</v>
      </c>
      <c r="AD47" s="25">
        <f t="shared" si="23"/>
        <v>25030.203397891481</v>
      </c>
      <c r="AE47" s="25">
        <f t="shared" si="23"/>
        <v>25261.593518130663</v>
      </c>
      <c r="AF47" s="25">
        <f t="shared" si="23"/>
        <v>25495.024665585937</v>
      </c>
      <c r="AG47" s="25">
        <f t="shared" si="23"/>
        <v>25730.513264656525</v>
      </c>
      <c r="AH47" s="25">
        <f t="shared" si="23"/>
        <v>25968.075845261865</v>
      </c>
      <c r="AI47" s="25">
        <f t="shared" si="23"/>
        <v>26207.729043026509</v>
      </c>
      <c r="AJ47" s="25">
        <f t="shared" si="23"/>
        <v>26449.48959945398</v>
      </c>
      <c r="AK47" s="25">
        <f t="shared" si="23"/>
        <v>26693.374362089115</v>
      </c>
      <c r="AL47" s="25">
        <f t="shared" si="23"/>
        <v>26939.400284668831</v>
      </c>
      <c r="AM47" s="25">
        <f t="shared" si="23"/>
        <v>27187.584427260677</v>
      </c>
      <c r="AN47" s="25">
        <f t="shared" si="23"/>
        <v>27437.943956389237</v>
      </c>
      <c r="AO47" s="25">
        <f t="shared" si="23"/>
        <v>27690.496145149729</v>
      </c>
      <c r="AP47" s="25">
        <f t="shared" si="23"/>
        <v>27945.258373308578</v>
      </c>
    </row>
    <row r="48" spans="1:42" x14ac:dyDescent="0.2">
      <c r="A48" s="41"/>
      <c r="B48" s="42" t="s">
        <v>19</v>
      </c>
      <c r="C48" s="53">
        <v>-0.03</v>
      </c>
      <c r="D48" s="42" t="s">
        <v>20</v>
      </c>
      <c r="H48" s="6"/>
      <c r="K48" s="24" t="s">
        <v>39</v>
      </c>
      <c r="L48" s="25">
        <f>SUM($L47:L47)</f>
        <v>-376000</v>
      </c>
      <c r="M48" s="25">
        <f>SUM($L47:M47)</f>
        <v>-353012.46799999999</v>
      </c>
      <c r="N48" s="25">
        <f>SUM($L47:N47)</f>
        <v>-329802.22467799997</v>
      </c>
      <c r="O48" s="25">
        <f>SUM($L47:O47)</f>
        <v>-306366.83370096312</v>
      </c>
      <c r="P48" s="25">
        <f>SUM($L47:P47)</f>
        <v>-282704.13868856221</v>
      </c>
      <c r="Q48" s="25">
        <f>SUM($L47:Q47)</f>
        <v>-258811.96303154746</v>
      </c>
      <c r="R48" s="25">
        <f>SUM($L47:R47)</f>
        <v>-234688.10970857186</v>
      </c>
      <c r="S48" s="25">
        <f>SUM($L47:S47)</f>
        <v>-210330.36110146227</v>
      </c>
      <c r="T48" s="25">
        <f>SUM($L47:T47)</f>
        <v>-185736.47880892514</v>
      </c>
      <c r="U48" s="25">
        <f>SUM($L47:U47)</f>
        <v>-160904.20345867504</v>
      </c>
      <c r="V48" s="25">
        <f>SUM($L47:V47)</f>
        <v>-135831.25451797477</v>
      </c>
      <c r="W48" s="25">
        <f>SUM($L47:W47)</f>
        <v>-112364.99078517361</v>
      </c>
      <c r="X48" s="25">
        <f>SUM($L47:X47)</f>
        <v>-88681.173059478737</v>
      </c>
      <c r="Y48" s="25">
        <f>SUM($L47:Y47)</f>
        <v>-64777.872347630488</v>
      </c>
      <c r="Z48" s="25">
        <f>SUM($L47:Z47)</f>
        <v>-40653.1439645629</v>
      </c>
      <c r="AA48" s="25">
        <f>SUM($L47:AA47)</f>
        <v>-16305.027429464317</v>
      </c>
      <c r="AB48" s="25">
        <f>SUM($L47:AB47)</f>
        <v>8268.4536384166058</v>
      </c>
      <c r="AC48" s="25">
        <f>SUM($L47:AC47)</f>
        <v>33069.291624210309</v>
      </c>
      <c r="AD48" s="25">
        <f>SUM($L47:AD47)</f>
        <v>58099.495022101793</v>
      </c>
      <c r="AE48" s="25">
        <f>SUM($L47:AE47)</f>
        <v>83361.088540232449</v>
      </c>
      <c r="AF48" s="25">
        <f>SUM($L47:AF47)</f>
        <v>108856.11320581839</v>
      </c>
      <c r="AG48" s="25">
        <f>SUM($L47:AG47)</f>
        <v>134586.6264704749</v>
      </c>
      <c r="AH48" s="25">
        <f>SUM($L47:AH47)</f>
        <v>160554.70231573677</v>
      </c>
      <c r="AI48" s="25">
        <f>SUM($L47:AI47)</f>
        <v>186762.43135876328</v>
      </c>
      <c r="AJ48" s="25">
        <f>SUM($L47:AJ47)</f>
        <v>213211.92095821726</v>
      </c>
      <c r="AK48" s="25">
        <f>SUM($L47:AK47)</f>
        <v>239905.29532030638</v>
      </c>
      <c r="AL48" s="25">
        <f>SUM($L47:AL47)</f>
        <v>266844.69560497522</v>
      </c>
      <c r="AM48" s="25">
        <f>SUM($L47:AM47)</f>
        <v>294032.2800322359</v>
      </c>
      <c r="AN48" s="25">
        <f>SUM($L47:AN47)</f>
        <v>321470.2239886251</v>
      </c>
      <c r="AO48" s="25">
        <f>SUM($L47:AO47)</f>
        <v>349160.72013377486</v>
      </c>
      <c r="AP48" s="25">
        <f>SUM($L47:AP47)</f>
        <v>377105.97850708343</v>
      </c>
    </row>
    <row r="49" spans="1:42" x14ac:dyDescent="0.2">
      <c r="A49" s="40" t="s">
        <v>110</v>
      </c>
      <c r="B49" s="21" t="s">
        <v>30</v>
      </c>
      <c r="C49" s="31" t="s">
        <v>65</v>
      </c>
      <c r="D49" s="21" t="s">
        <v>41</v>
      </c>
      <c r="H49" s="6"/>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row>
    <row r="50" spans="1:42" x14ac:dyDescent="0.2">
      <c r="A50" s="41"/>
      <c r="B50" s="42" t="s">
        <v>31</v>
      </c>
      <c r="C50" s="49">
        <f>-L12</f>
        <v>526000</v>
      </c>
      <c r="D50" s="42" t="s">
        <v>3</v>
      </c>
      <c r="K50" s="24"/>
      <c r="L50" s="91"/>
      <c r="M50" s="24" t="str">
        <f t="shared" ref="M50:AP50" si="24">IF(M48&gt;0,M7,"")</f>
        <v/>
      </c>
      <c r="N50" s="24" t="str">
        <f t="shared" si="24"/>
        <v/>
      </c>
      <c r="O50" s="24" t="str">
        <f t="shared" si="24"/>
        <v/>
      </c>
      <c r="P50" s="24" t="str">
        <f t="shared" si="24"/>
        <v/>
      </c>
      <c r="Q50" s="24" t="str">
        <f t="shared" si="24"/>
        <v/>
      </c>
      <c r="R50" s="24" t="str">
        <f t="shared" si="24"/>
        <v/>
      </c>
      <c r="S50" s="24" t="str">
        <f t="shared" si="24"/>
        <v/>
      </c>
      <c r="T50" s="24" t="str">
        <f>IF(T48&gt;0,T7,"")</f>
        <v/>
      </c>
      <c r="U50" s="24" t="str">
        <f t="shared" si="24"/>
        <v/>
      </c>
      <c r="V50" s="24" t="str">
        <f t="shared" si="24"/>
        <v/>
      </c>
      <c r="W50" s="24" t="str">
        <f t="shared" si="24"/>
        <v/>
      </c>
      <c r="X50" s="24" t="str">
        <f t="shared" si="24"/>
        <v/>
      </c>
      <c r="Y50" s="24" t="str">
        <f t="shared" si="24"/>
        <v/>
      </c>
      <c r="Z50" s="24" t="str">
        <f t="shared" si="24"/>
        <v/>
      </c>
      <c r="AA50" s="24" t="str">
        <f t="shared" si="24"/>
        <v/>
      </c>
      <c r="AB50" s="24">
        <f t="shared" si="24"/>
        <v>16</v>
      </c>
      <c r="AC50" s="24">
        <f t="shared" si="24"/>
        <v>17</v>
      </c>
      <c r="AD50" s="24">
        <f t="shared" si="24"/>
        <v>18</v>
      </c>
      <c r="AE50" s="24">
        <f t="shared" si="24"/>
        <v>19</v>
      </c>
      <c r="AF50" s="24">
        <f t="shared" si="24"/>
        <v>20</v>
      </c>
      <c r="AG50" s="24">
        <f t="shared" si="24"/>
        <v>21</v>
      </c>
      <c r="AH50" s="24">
        <f t="shared" si="24"/>
        <v>22</v>
      </c>
      <c r="AI50" s="24">
        <f t="shared" si="24"/>
        <v>23</v>
      </c>
      <c r="AJ50" s="24">
        <f t="shared" si="24"/>
        <v>24</v>
      </c>
      <c r="AK50" s="24">
        <f t="shared" si="24"/>
        <v>25</v>
      </c>
      <c r="AL50" s="24">
        <f t="shared" si="24"/>
        <v>26</v>
      </c>
      <c r="AM50" s="24">
        <f t="shared" si="24"/>
        <v>27</v>
      </c>
      <c r="AN50" s="24">
        <f t="shared" si="24"/>
        <v>28</v>
      </c>
      <c r="AO50" s="24">
        <f t="shared" si="24"/>
        <v>29</v>
      </c>
      <c r="AP50" s="24">
        <f t="shared" si="24"/>
        <v>30</v>
      </c>
    </row>
    <row r="51" spans="1:42" x14ac:dyDescent="0.2">
      <c r="A51" s="40" t="s">
        <v>111</v>
      </c>
      <c r="B51" s="21" t="s">
        <v>51</v>
      </c>
      <c r="C51" s="32">
        <v>0</v>
      </c>
      <c r="D51" s="21" t="s">
        <v>6</v>
      </c>
    </row>
    <row r="52" spans="1:42" x14ac:dyDescent="0.2">
      <c r="A52" s="41"/>
      <c r="B52" s="42" t="s">
        <v>88</v>
      </c>
      <c r="C52" s="51" t="s">
        <v>64</v>
      </c>
      <c r="D52" s="42" t="s">
        <v>47</v>
      </c>
    </row>
    <row r="53" spans="1:42" ht="15" x14ac:dyDescent="0.25">
      <c r="A53" s="43" t="s">
        <v>112</v>
      </c>
      <c r="B53" s="42" t="s">
        <v>113</v>
      </c>
      <c r="C53" s="55">
        <v>0.04</v>
      </c>
      <c r="D53" s="42" t="s">
        <v>6</v>
      </c>
      <c r="F53" s="9"/>
      <c r="G53" s="9"/>
      <c r="H53" s="9"/>
      <c r="I53" s="9"/>
    </row>
    <row r="54" spans="1:42" ht="15" x14ac:dyDescent="0.25">
      <c r="A54" s="110" t="s">
        <v>163</v>
      </c>
      <c r="B54" s="21" t="s">
        <v>127</v>
      </c>
      <c r="C54" s="22" t="s">
        <v>128</v>
      </c>
      <c r="D54" s="21"/>
      <c r="F54" s="9"/>
      <c r="G54" s="9"/>
      <c r="H54" s="9"/>
      <c r="I54" s="9"/>
    </row>
    <row r="55" spans="1:42" ht="15" x14ac:dyDescent="0.25">
      <c r="A55" s="40" t="s">
        <v>164</v>
      </c>
      <c r="B55" s="21" t="s">
        <v>129</v>
      </c>
      <c r="C55" s="75">
        <v>19551</v>
      </c>
      <c r="D55" s="44" t="s">
        <v>58</v>
      </c>
      <c r="F55" s="9"/>
      <c r="G55" s="9"/>
      <c r="H55" s="9"/>
      <c r="I55" s="9"/>
    </row>
    <row r="56" spans="1:42" ht="15" x14ac:dyDescent="0.25">
      <c r="A56" s="40" t="s">
        <v>125</v>
      </c>
      <c r="B56" s="21" t="s">
        <v>130</v>
      </c>
      <c r="C56" s="75">
        <v>20108</v>
      </c>
      <c r="D56" s="44" t="s">
        <v>58</v>
      </c>
      <c r="F56" s="9"/>
      <c r="G56" s="9"/>
      <c r="H56" s="9"/>
      <c r="I56" s="9"/>
    </row>
    <row r="57" spans="1:42" ht="15" x14ac:dyDescent="0.25">
      <c r="A57" s="40"/>
      <c r="B57" s="45" t="s">
        <v>131</v>
      </c>
      <c r="C57" s="75">
        <v>26105</v>
      </c>
      <c r="D57" s="44" t="s">
        <v>58</v>
      </c>
      <c r="F57" s="9"/>
      <c r="G57" s="9"/>
      <c r="H57" s="9"/>
      <c r="I57" s="9"/>
    </row>
    <row r="58" spans="1:42" ht="15" x14ac:dyDescent="0.25">
      <c r="A58" s="40"/>
      <c r="B58" s="45" t="s">
        <v>132</v>
      </c>
      <c r="C58" s="75">
        <v>28000</v>
      </c>
      <c r="D58" s="44" t="s">
        <v>58</v>
      </c>
      <c r="F58" s="9"/>
      <c r="G58" s="9"/>
      <c r="H58" s="9"/>
      <c r="I58" s="9"/>
    </row>
    <row r="59" spans="1:42" ht="15" x14ac:dyDescent="0.25">
      <c r="A59" s="40"/>
      <c r="B59" s="45" t="s">
        <v>133</v>
      </c>
      <c r="C59" s="75">
        <v>29849</v>
      </c>
      <c r="D59" s="44" t="s">
        <v>58</v>
      </c>
      <c r="F59" s="9"/>
      <c r="G59" s="9"/>
      <c r="H59" s="9"/>
      <c r="I59" s="9"/>
    </row>
    <row r="60" spans="1:42" ht="15" x14ac:dyDescent="0.25">
      <c r="A60" s="40"/>
      <c r="B60" s="45" t="s">
        <v>134</v>
      </c>
      <c r="C60" s="75">
        <v>29757</v>
      </c>
      <c r="D60" s="44" t="s">
        <v>58</v>
      </c>
      <c r="F60" s="9"/>
      <c r="G60" s="9"/>
      <c r="H60" s="9"/>
      <c r="I60" s="9"/>
      <c r="K60" s="5"/>
      <c r="N60" s="4"/>
      <c r="O60" s="5"/>
    </row>
    <row r="61" spans="1:42" ht="15" x14ac:dyDescent="0.25">
      <c r="A61" s="40"/>
      <c r="B61" s="45" t="s">
        <v>135</v>
      </c>
      <c r="C61" s="75">
        <v>30518</v>
      </c>
      <c r="D61" s="44" t="s">
        <v>58</v>
      </c>
      <c r="F61" s="9"/>
      <c r="G61" s="9"/>
      <c r="H61" s="9"/>
      <c r="I61" s="9"/>
      <c r="N61" s="4"/>
      <c r="O61" s="5"/>
    </row>
    <row r="62" spans="1:42" ht="15" x14ac:dyDescent="0.25">
      <c r="A62" s="40"/>
      <c r="B62" s="45" t="s">
        <v>136</v>
      </c>
      <c r="C62" s="75">
        <v>28990</v>
      </c>
      <c r="D62" s="44" t="s">
        <v>58</v>
      </c>
      <c r="F62" s="9"/>
      <c r="G62" s="9"/>
      <c r="H62" s="9"/>
      <c r="I62" s="9"/>
      <c r="K62" s="7"/>
      <c r="L62" s="8"/>
      <c r="N62" s="4"/>
      <c r="O62" s="5"/>
    </row>
    <row r="63" spans="1:42" ht="15" x14ac:dyDescent="0.25">
      <c r="A63" s="40"/>
      <c r="B63" s="45" t="s">
        <v>137</v>
      </c>
      <c r="C63" s="75">
        <v>25110</v>
      </c>
      <c r="D63" s="44" t="s">
        <v>58</v>
      </c>
      <c r="F63" s="9"/>
      <c r="G63" s="9"/>
      <c r="H63" s="9"/>
      <c r="I63" s="9"/>
      <c r="K63" s="7"/>
      <c r="L63" s="8"/>
      <c r="N63" s="4"/>
      <c r="O63" s="5"/>
    </row>
    <row r="64" spans="1:42" ht="15" x14ac:dyDescent="0.25">
      <c r="A64" s="40"/>
      <c r="B64" s="45" t="s">
        <v>138</v>
      </c>
      <c r="C64" s="75">
        <v>24498</v>
      </c>
      <c r="D64" s="44" t="s">
        <v>58</v>
      </c>
      <c r="F64" s="9"/>
      <c r="G64" s="9"/>
      <c r="H64" s="9"/>
      <c r="I64" s="9"/>
      <c r="J64" s="9"/>
      <c r="K64" s="7"/>
      <c r="L64" s="8"/>
      <c r="N64" s="4"/>
      <c r="O64" s="5"/>
    </row>
    <row r="65" spans="1:15" ht="15" x14ac:dyDescent="0.25">
      <c r="A65" s="40"/>
      <c r="B65" s="45" t="s">
        <v>139</v>
      </c>
      <c r="C65" s="75">
        <v>19258</v>
      </c>
      <c r="D65" s="44" t="s">
        <v>58</v>
      </c>
      <c r="F65" s="9"/>
      <c r="G65" s="9"/>
      <c r="H65" s="9"/>
      <c r="I65" s="9"/>
      <c r="J65" s="9"/>
      <c r="K65" s="7"/>
      <c r="L65" s="8"/>
      <c r="N65" s="4"/>
      <c r="O65" s="5"/>
    </row>
    <row r="66" spans="1:15" ht="15" x14ac:dyDescent="0.25">
      <c r="A66" s="40"/>
      <c r="B66" s="45" t="s">
        <v>140</v>
      </c>
      <c r="C66" s="80">
        <v>18249</v>
      </c>
      <c r="D66" s="44" t="s">
        <v>58</v>
      </c>
      <c r="F66" s="9"/>
      <c r="G66" s="9"/>
      <c r="H66" s="9"/>
      <c r="I66" s="9"/>
      <c r="J66" s="9"/>
      <c r="K66" s="7"/>
      <c r="L66" s="8"/>
      <c r="N66" s="4"/>
      <c r="O66" s="5"/>
    </row>
    <row r="67" spans="1:15" ht="15" x14ac:dyDescent="0.25">
      <c r="A67" s="40"/>
      <c r="B67" s="45" t="s">
        <v>141</v>
      </c>
      <c r="C67" s="75">
        <v>299993</v>
      </c>
      <c r="D67" s="44" t="s">
        <v>58</v>
      </c>
      <c r="J67" s="9"/>
      <c r="K67" s="7"/>
      <c r="L67" s="8"/>
      <c r="N67" s="4"/>
      <c r="O67" s="5"/>
    </row>
    <row r="68" spans="1:15" ht="15" x14ac:dyDescent="0.25">
      <c r="J68" s="9"/>
      <c r="K68" s="7"/>
      <c r="L68" s="8"/>
      <c r="N68" s="4"/>
      <c r="O68" s="5"/>
    </row>
    <row r="69" spans="1:15" ht="15" x14ac:dyDescent="0.25">
      <c r="J69" s="9"/>
      <c r="K69" s="7"/>
      <c r="L69" s="8"/>
      <c r="N69" s="4"/>
      <c r="O69" s="5"/>
    </row>
    <row r="70" spans="1:15" ht="15" x14ac:dyDescent="0.25">
      <c r="J70" s="9"/>
      <c r="K70" s="7"/>
      <c r="L70" s="8"/>
      <c r="N70" s="4"/>
      <c r="O70" s="5"/>
    </row>
    <row r="71" spans="1:15" ht="15" x14ac:dyDescent="0.25">
      <c r="J71" s="9"/>
      <c r="K71" s="7"/>
      <c r="L71" s="8"/>
      <c r="M71" s="8"/>
    </row>
    <row r="72" spans="1:15" ht="15" x14ac:dyDescent="0.25">
      <c r="J72" s="9"/>
      <c r="K72" s="7"/>
      <c r="L72" s="8"/>
      <c r="M72" s="8"/>
    </row>
    <row r="73" spans="1:15" ht="15" x14ac:dyDescent="0.25">
      <c r="J73" s="9"/>
      <c r="K73" s="7"/>
      <c r="L73" s="8"/>
      <c r="M73" s="8"/>
    </row>
    <row r="74" spans="1:15" ht="15" x14ac:dyDescent="0.25">
      <c r="J74" s="9"/>
      <c r="K74" s="7"/>
      <c r="L74" s="8"/>
      <c r="M74" s="8"/>
    </row>
    <row r="75" spans="1:15" ht="15" x14ac:dyDescent="0.25">
      <c r="J75" s="9"/>
      <c r="K75" s="7"/>
      <c r="L75" s="8"/>
      <c r="M75" s="8"/>
    </row>
    <row r="76" spans="1:15" ht="15" x14ac:dyDescent="0.25">
      <c r="J76" s="9"/>
      <c r="K76" s="7"/>
      <c r="L76" s="8"/>
      <c r="M76" s="8"/>
    </row>
    <row r="77" spans="1:15" ht="15" x14ac:dyDescent="0.25">
      <c r="J77" s="9"/>
      <c r="K77" s="7"/>
      <c r="L77" s="8"/>
      <c r="M77" s="8"/>
    </row>
    <row r="78" spans="1:15" x14ac:dyDescent="0.2">
      <c r="K78" s="7"/>
      <c r="L78" s="8"/>
      <c r="M78" s="8"/>
    </row>
    <row r="79" spans="1:15" x14ac:dyDescent="0.2">
      <c r="K79" s="7"/>
      <c r="L79" s="8"/>
      <c r="M79" s="8"/>
    </row>
  </sheetData>
  <hyperlinks>
    <hyperlink ref="F40" r:id="rId1"/>
    <hyperlink ref="F34" r:id="rId2"/>
    <hyperlink ref="F26" r:id="rId3" display="(from NREL JEDI model) "/>
    <hyperlink ref="B39" r:id="rId4"/>
    <hyperlink ref="A54" r:id="rId5"/>
  </hyperlinks>
  <pageMargins left="0.7" right="0.7" top="0.75" bottom="0.75" header="0.3" footer="0.3"/>
  <pageSetup orientation="portrait"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Simple Grid-Tied Solar</vt:lpstr>
      <vt:lpstr>2. Underutilized Land</vt:lpstr>
      <vt:lpstr>3. Solar w Shading</vt:lpstr>
      <vt:lpstr>4. Solar plus Storage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SteveWiese</dc:creator>
  <cp:lastModifiedBy>Steve Wiese</cp:lastModifiedBy>
  <dcterms:created xsi:type="dcterms:W3CDTF">2010-03-17T15:41:05Z</dcterms:created>
  <dcterms:modified xsi:type="dcterms:W3CDTF">2016-08-25T16:31:45Z</dcterms:modified>
</cp:coreProperties>
</file>